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Assumptions" sheetId="2" state="visible" r:id="rId4"/>
    <sheet name="Model" sheetId="3" state="visible" r:id="rId5"/>
    <sheet name="Results" sheetId="4" state="visible" r:id="rId6"/>
    <sheet name="Sources" sheetId="5" state="visible" r:id="rId7"/>
  </sheets>
  <definedNames>
    <definedName function="false" hidden="false" name="actions_day" vbProcedure="false">Assumptions!$D$11</definedName>
    <definedName function="false" hidden="false" name="aeos_automation" vbProcedure="false">Assumptions!$E$29</definedName>
    <definedName function="false" hidden="false" name="AMS_PCT" vbProcedure="false">Assumptions!$B$41</definedName>
    <definedName function="false" hidden="false" name="audit_fee_cut" vbProcedure="false">Assumptions!$E$27</definedName>
    <definedName function="false" hidden="false" name="audit_fee_pct" vbProcedure="false">Assumptions!$D$16</definedName>
    <definedName function="false" hidden="false" name="CARRY" vbProcedure="false">Assumptions!$B$54</definedName>
    <definedName function="false" hidden="false" name="CHURN" vbProcedure="false">Assumptions!$B$46</definedName>
    <definedName function="false" hidden="false" name="DELTA" vbProcedure="false">Assumptions!$B$59</definedName>
    <definedName function="false" hidden="false" name="discount_capture_pp" vbProcedure="false">Assumptions!$E$34</definedName>
    <definedName function="false" hidden="false" name="DISC_OFF" vbProcedure="false">Assumptions!$B$52</definedName>
    <definedName function="false" hidden="false" name="DISC_RATE" vbProcedure="false">Assumptions!$B$53</definedName>
    <definedName function="false" hidden="false" name="dso_days" vbProcedure="false">Assumptions!$E$31</definedName>
    <definedName function="false" hidden="false" name="EDI_DOCS" vbProcedure="false">Assumptions!$B$42</definedName>
    <definedName function="false" hidden="false" name="edi_doc_migrated" vbProcedure="false">Assumptions!$E$25</definedName>
    <definedName function="false" hidden="false" name="edi_effort_cut" vbProcedure="false">Assumptions!$E$26</definedName>
    <definedName function="false" hidden="false" name="EXC_MIN" vbProcedure="false">Assumptions!$B$49</definedName>
    <definedName function="false" hidden="false" name="exc_per_1000" vbProcedure="false">Assumptions!$E$24</definedName>
    <definedName function="false" hidden="false" name="FIN_FTE_PER_B" vbProcedure="false">Assumptions!$B$40</definedName>
    <definedName function="false" hidden="false" name="freight_pct" vbProcedure="false">Assumptions!$D$19</definedName>
    <definedName function="false" hidden="false" name="FTE_ENG" vbProcedure="false">Assumptions!$B$39</definedName>
    <definedName function="false" hidden="false" name="FTE_FIN" vbProcedure="false">Assumptions!$B$38</definedName>
    <definedName function="false" hidden="false" name="FTE_HOURS" vbProcedure="false">Assumptions!$B$50</definedName>
    <definedName function="false" hidden="false" name="HA" vbProcedure="false">Assumptions!$B$58</definedName>
    <definedName function="false" hidden="false" name="HB" vbProcedure="false">Assumptions!$B$57</definedName>
    <definedName function="false" hidden="false" name="hosting" vbProcedure="false">Assumptions!$D$13</definedName>
    <definedName function="false" hidden="false" name="impl_ratio" vbProcedure="false">Assumptions!$E$22</definedName>
    <definedName function="false" hidden="false" name="inventory_cut" vbProcedure="false">Assumptions!$E$32</definedName>
    <definedName function="false" hidden="false" name="inventory_pct" vbProcedure="false">Assumptions!$D$18</definedName>
    <definedName function="false" hidden="false" name="MAPS" vbProcedure="false">Assumptions!$B$47</definedName>
    <definedName function="false" hidden="false" name="MAP_COST" vbProcedure="false">Assumptions!$B$48</definedName>
    <definedName function="false" hidden="false" name="MU" vbProcedure="false">Assumptions!$B$61</definedName>
    <definedName function="false" hidden="false" name="ONBOARD" vbProcedure="false">Assumptions!$B$45</definedName>
    <definedName function="false" hidden="false" name="partners" vbProcedure="false">Assumptions!$D$12</definedName>
    <definedName function="false" hidden="false" name="PEPPOL_DOC" vbProcedure="false">Assumptions!$B$44</definedName>
    <definedName function="false" hidden="false" name="platform_fte" vbProcedure="false">Assumptions!$D$14</definedName>
    <definedName function="false" hidden="false" name="PREMIUM" vbProcedure="false">Assumptions!$B$55</definedName>
    <definedName function="false" hidden="false" name="premium_freight_cut" vbProcedure="false">Assumptions!$E$33</definedName>
    <definedName function="false" hidden="false" name="PURCH" vbProcedure="false">Assumptions!$B$51</definedName>
    <definedName function="false" hidden="false" name="RATE" vbProcedure="false">Assumptions!$B$60</definedName>
    <definedName function="false" hidden="false" name="revenue" vbProcedure="false">Assumptions!$D$7</definedName>
    <definedName function="false" hidden="false" name="RHO" vbProcedure="false">Assumptions!$B$56</definedName>
    <definedName function="false" hidden="false" name="sap_automation" vbProcedure="false">Assumptions!$E$30</definedName>
    <definedName function="false" hidden="false" name="sap_impl" vbProcedure="false">Assumptions!$D$9</definedName>
    <definedName function="false" hidden="false" name="sap_sub" vbProcedure="false">Assumptions!$D$10</definedName>
    <definedName function="false" hidden="false" name="soc1" vbProcedure="false">Assumptions!$D$15</definedName>
    <definedName function="false" hidden="false" name="sox_cut" vbProcedure="false">Assumptions!$E$28</definedName>
    <definedName function="false" hidden="false" name="sox_internal" vbProcedure="false">Assumptions!$D$17</definedName>
    <definedName function="false" hidden="false" name="systems" vbProcedure="false">Assumptions!$D$8</definedName>
    <definedName function="false" hidden="false" name="usd_per_action" vbProcedure="false">Assumptions!$E$23</definedName>
    <definedName function="false" hidden="false" name="VAN_DOC" vbProcedure="false">Assumptions!$B$43</definedName>
    <definedName function="false" hidden="false" name="WACC" vbProcedure="false">Assumptions!$B$37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<sst xmlns="http://schemas.openxmlformats.org/spreadsheetml/2006/main" count="283" uniqueCount="236">
  <si>
    <t xml:space="preserve">AE-OS and SAP S/4HANA: seven-year cost and benefit model</t>
  </si>
  <si>
    <t xml:space="preserve">MODELED. Companion to the economics appendix of "The Agent-Native Enterprise Operating System" by Darren Lentz (ae-os.org). An illustrative research model: every figure is an estimate for a hypothetical company, to be tested against your own numbers. Licensed CC BY 4.0.</t>
  </si>
  <si>
    <t xml:space="preserve">How to use</t>
  </si>
  <si>
    <t xml:space="preserve">1. On 'Assumptions', choose a company profile (M or L) and a scenario in the two blue cells at the top.</t>
  </si>
  <si>
    <t xml:space="preserve">2. Blue numbers are inputs you can change. Black numbers are formulas.</t>
  </si>
  <si>
    <t xml:space="preserve">3. 'Model' shows each year in USD millions; the bottom block gives seven-year totals and net present value.</t>
  </si>
  <si>
    <t xml:space="preserve">4. 'Results' holds the six profile x scenario results from the paper's reference calculation, for checking.</t>
  </si>
  <si>
    <t xml:space="preserve">What is compared</t>
  </si>
  <si>
    <t xml:space="preserve">Both routes replace SAP ECC. The SAP route buys S/4HANA as a subscription (RISE). The AE-OS route pays no licence,</t>
  </si>
  <si>
    <t xml:space="preserve">but carries hosting, a platform team that keeps tax and legal rules current, AI usage and a human exception desk.</t>
  </si>
  <si>
    <t xml:space="preserve">Value created is counted only where AE-OS does better than the SAP route, in two evidence tiers:</t>
  </si>
  <si>
    <t xml:space="preserve">  Tier B (measurable in a pilot): integration and EDI, audit and compliance, back-office automation.</t>
  </si>
  <si>
    <t xml:space="preserve">  Tier C (judgement): working capital, premium freight, early-payment discounts.</t>
  </si>
  <si>
    <t xml:space="preserve">Sources</t>
  </si>
  <si>
    <t xml:space="preserve">Cited inputs carry a reference id; the 'Sources' sheet gives the full reference and link for each.</t>
  </si>
  <si>
    <t xml:space="preserve">Inputs marked ASSUMPTION have no external source and are the author's estimates.</t>
  </si>
  <si>
    <t xml:space="preserve">Assumptions</t>
  </si>
  <si>
    <t xml:space="preserve">Profile (M or L)</t>
  </si>
  <si>
    <t xml:space="preserve">M</t>
  </si>
  <si>
    <t xml:space="preserve">M = ~1,000 users, $1.5B revenue · L = ~5,000 users, $10B revenue, 40 systems</t>
  </si>
  <si>
    <t xml:space="preserve">Scenario</t>
  </si>
  <si>
    <t xml:space="preserve">base</t>
  </si>
  <si>
    <t xml:space="preserve">conservative · base · optimistic</t>
  </si>
  <si>
    <t xml:space="preserve">Profile input</t>
  </si>
  <si>
    <t xml:space="preserve">L</t>
  </si>
  <si>
    <t xml:space="preserve">Selected</t>
  </si>
  <si>
    <t xml:space="preserve">Unit</t>
  </si>
  <si>
    <t xml:space="preserve">Source / basis</t>
  </si>
  <si>
    <t xml:space="preserve">Revenue</t>
  </si>
  <si>
    <t xml:space="preserve">USD M</t>
  </si>
  <si>
    <t xml:space="preserve">ASSUMPTION (profile definition)</t>
  </si>
  <si>
    <t xml:space="preserve">Systems exchanging data (N)</t>
  </si>
  <si>
    <t xml:space="preserve">count</t>
  </si>
  <si>
    <t xml:space="preserve">ASSUMPTION; L: author's bottom-up estimate</t>
  </si>
  <si>
    <t xml:space="preserve">SAP implementation program</t>
  </si>
  <si>
    <t xml:space="preserve">M: econ-hyperbots-s4 ($5-25M for 500-2,000 users); L: author's bottom-up incl. overrun 1.45</t>
  </si>
  <si>
    <t xml:space="preserve">SAP subscription (RISE) per year</t>
  </si>
  <si>
    <t xml:space="preserve">USD M/yr</t>
  </si>
  <si>
    <t xml:space="preserve">econ-hyperbots-s4 (~1,000 users $1.5-2M/yr; 2,000+ users $4-15M+); econ-redress-rise is lower</t>
  </si>
  <si>
    <t xml:space="preserve">Agent actions per day at full volume</t>
  </si>
  <si>
    <t xml:space="preserve">ASSUMPTION; L: author's sizing</t>
  </si>
  <si>
    <t xml:space="preserve">EDI trading partners</t>
  </si>
  <si>
    <t xml:space="preserve">ASSUMPTION</t>
  </si>
  <si>
    <t xml:space="preserve">AE-OS hosting per year</t>
  </si>
  <si>
    <t xml:space="preserve">ASSUMPTION (cloud, HSM, log storage)</t>
  </si>
  <si>
    <t xml:space="preserve">AE-OS platform and pack team</t>
  </si>
  <si>
    <t xml:space="preserve">FTE</t>
  </si>
  <si>
    <t xml:space="preserve">ASSUMPTION; keeps tax/legal rules current</t>
  </si>
  <si>
    <t xml:space="preserve">SOC 1 Type 2 report per year</t>
  </si>
  <si>
    <t xml:space="preserve">External audit fee / revenue</t>
  </si>
  <si>
    <t xml:space="preserve">ratio</t>
  </si>
  <si>
    <t xml:space="preserve">econ-ferf-auditfees-2024 (0.116% at $1-5B; 0.057% above $5B)</t>
  </si>
  <si>
    <t xml:space="preserve">Internal SOX cost per year</t>
  </si>
  <si>
    <t xml:space="preserve">econ-protiviti-sox-2022 ($1.40M at $1-4.99B; $1.93M at $10B+)</t>
  </si>
  <si>
    <t xml:space="preserve">Inventory / revenue</t>
  </si>
  <si>
    <t xml:space="preserve">Freight spend / revenue</t>
  </si>
  <si>
    <t xml:space="preserve">Scenario input</t>
  </si>
  <si>
    <t xml:space="preserve">conservative</t>
  </si>
  <si>
    <t xml:space="preserve">optimistic</t>
  </si>
  <si>
    <t xml:space="preserve">AE-OS program cost / SAP program cost</t>
  </si>
  <si>
    <t xml:space="preserve">scenario values: first-of-kind 1.10, AI-assisted parity 1.00, mature platform 0.75</t>
  </si>
  <si>
    <t xml:space="preserve">AI cost per agent action (USD)</t>
  </si>
  <si>
    <t xml:space="preserve">si-anthropic-pricing (Claude 5.5 list prices); routing mix is ASSUMPTION</t>
  </si>
  <si>
    <t xml:space="preserve">Exceptions per 1,000 actions</t>
  </si>
  <si>
    <t xml:space="preserve">ASSUMPTION (the paper treats it as a metric to measure in a pilot)</t>
  </si>
  <si>
    <t xml:space="preserve">EDI documents moved off VAN</t>
  </si>
  <si>
    <t xml:space="preserve">ASSUMPTION; prices econ-van-pricing-ordersync, econ-van-peppol-acume (vendor, low confidence)</t>
  </si>
  <si>
    <t xml:space="preserve">Cut in partner onboarding and map changes</t>
  </si>
  <si>
    <t xml:space="preserve">External audit fee reduction</t>
  </si>
  <si>
    <t xml:space="preserve">econ-gartner-automation-auditfees (27% lower with &gt;=25% automated controls; correlation)</t>
  </si>
  <si>
    <t xml:space="preserve">Internal SOX cost reduction</t>
  </si>
  <si>
    <t xml:space="preserve">ASSUMPTION; econ-joa-sox-2022 (automated key controls 33%-&gt;50%)</t>
  </si>
  <si>
    <t xml:space="preserve">Finance work absorbed by agents, AE-OS</t>
  </si>
  <si>
    <t xml:space="preserve">econ-deloitte-ap-agent (50% fewer AP FTEs, one case); econ-hackett-dwc-finance-2025 (claim)</t>
  </si>
  <si>
    <t xml:space="preserve">Finance work absorbed, SAP route</t>
  </si>
  <si>
    <t xml:space="preserve">ASSUMPTION (credit for SAP's own automation)</t>
  </si>
  <si>
    <t xml:space="preserve">DSO reduction (days)</t>
  </si>
  <si>
    <t xml:space="preserve">econ-hackett-wc-2025 (18-day gap top vs median); ASSUMPTION</t>
  </si>
  <si>
    <t xml:space="preserve">Inventory reduction</t>
  </si>
  <si>
    <t xml:space="preserve">econ-mckinsey-ai-scm (35%, consultancy claim); ASSUMPTION</t>
  </si>
  <si>
    <t xml:space="preserve">Premium freight reduction</t>
  </si>
  <si>
    <t xml:space="preserve">ASSUMPTION; base econ-apqc-premium-freight (8% of freight)</t>
  </si>
  <si>
    <t xml:space="preserve">Early-payment discount capture (+pp)</t>
  </si>
  <si>
    <t xml:space="preserve">econ-apqc-discounts (median 65% captured); ASSUMPTION</t>
  </si>
  <si>
    <t xml:space="preserve">Global input</t>
  </si>
  <si>
    <t xml:space="preserve">Value</t>
  </si>
  <si>
    <t xml:space="preserve">Discount rate</t>
  </si>
  <si>
    <t xml:space="preserve">Loaded cost per finance FTE (USD M/yr)</t>
  </si>
  <si>
    <t xml:space="preserve">econ-bls-accountants-2023, econ-bls-clerks-2023 (50/50), econ-bls-ecec-2026 (wages 70%)</t>
  </si>
  <si>
    <t xml:space="preserve">Loaded cost per platform engineer (USD M/yr)</t>
  </si>
  <si>
    <t xml:space="preserve">Finance FTEs per $1B revenue</t>
  </si>
  <si>
    <t xml:space="preserve">econ-apqc-finance-ftes</t>
  </si>
  <si>
    <t xml:space="preserve">SAP AMS/Basis/upkeep as share of subscription</t>
  </si>
  <si>
    <t xml:space="preserve">econ-redress-rise (40-50% above subscription)</t>
  </si>
  <si>
    <t xml:space="preserve">EDI documents per partner per year</t>
  </si>
  <si>
    <t xml:space="preserve">VAN cost per document (USD)</t>
  </si>
  <si>
    <t xml:space="preserve">econ-van-pricing-ordersync, econ-van-peppol-acume (vendor)</t>
  </si>
  <si>
    <t xml:space="preserve">Peppol / direct cost per document (USD)</t>
  </si>
  <si>
    <t xml:space="preserve">econ-van-peppol-acume (vendor)</t>
  </si>
  <si>
    <t xml:space="preserve">Partner onboarding cost (USD)</t>
  </si>
  <si>
    <t xml:space="preserve">vendor range $500-5,000</t>
  </si>
  <si>
    <t xml:space="preserve">New partners per year (share)</t>
  </si>
  <si>
    <t xml:space="preserve">Map changes per partner per year</t>
  </si>
  <si>
    <t xml:space="preserve">Cost per map change (USD)</t>
  </si>
  <si>
    <t xml:space="preserve">econ-van-pricing-ordersync / BOLD VAN range $200-1,000</t>
  </si>
  <si>
    <t xml:space="preserve">Minutes per exception</t>
  </si>
  <si>
    <t xml:space="preserve">Productive hours per FTE-year</t>
  </si>
  <si>
    <t xml:space="preserve">External purchases / revenue</t>
  </si>
  <si>
    <t xml:space="preserve">Share of purchases offering a discount</t>
  </si>
  <si>
    <t xml:space="preserve">Early-payment discount</t>
  </si>
  <si>
    <t xml:space="preserve">ASSUMPTION (2/10 net 30)</t>
  </si>
  <si>
    <t xml:space="preserve">Inventory carrying cost per year</t>
  </si>
  <si>
    <t xml:space="preserve">econ-apqc-carrying-cost</t>
  </si>
  <si>
    <t xml:space="preserve">Premium freight / total freight</t>
  </si>
  <si>
    <t xml:space="preserve">econ-apqc-premium-freight</t>
  </si>
  <si>
    <t xml:space="preserve">Share of system pairs with an interface</t>
  </si>
  <si>
    <t xml:space="preserve">paper, economics appendix (cost equation)</t>
  </si>
  <si>
    <t xml:space="preserve">Hours per hand-built interface</t>
  </si>
  <si>
    <t xml:space="preserve">paper, economics appendix</t>
  </si>
  <si>
    <t xml:space="preserve">Hours per MCP server</t>
  </si>
  <si>
    <t xml:space="preserve">Residual effort per runtime binding</t>
  </si>
  <si>
    <t xml:space="preserve">Integration rate (USD/h)</t>
  </si>
  <si>
    <t xml:space="preserve">Interface upkeep per year (share of build)</t>
  </si>
  <si>
    <t xml:space="preserve">Model · USD millions</t>
  </si>
  <si>
    <t xml:space="preserve">Line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</si>
  <si>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</si>
  <si>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</si>
  <si>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</si>
  <si>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</si>
  <si>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</si>
  <si>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Year 6</t>
  </si>
  <si>
    <t xml:space="preserve">Year 7</t>
  </si>
  <si>
    <t xml:space="preserve">7-yr total</t>
  </si>
  <si>
    <t xml:space="preserve">NPV</t>
  </si>
  <si>
    <t xml:space="preserve">Phasing</t>
  </si>
  <si>
    <t xml:space="preserve">SAP program spend share</t>
  </si>
  <si>
    <t xml:space="preserve">AE-OS program spend share</t>
  </si>
  <si>
    <t xml:space="preserve">SAP live</t>
  </si>
  <si>
    <t xml:space="preserve">AE-OS volume live (3 waves)</t>
  </si>
  <si>
    <t xml:space="preserve">Benefit realization</t>
  </si>
  <si>
    <t xml:space="preserve">SAP route: cost</t>
  </si>
  <si>
    <t xml:space="preserve">Implementation program</t>
  </si>
  <si>
    <t xml:space="preserve">Subscription (RISE)</t>
  </si>
  <si>
    <t xml:space="preserve">AMS, Basis and upkeep</t>
  </si>
  <si>
    <t xml:space="preserve">SAP route total</t>
  </si>
  <si>
    <t xml:space="preserve">AE-OS route: cost (no licence)</t>
  </si>
  <si>
    <t xml:space="preserve">Hosting</t>
  </si>
  <si>
    <t xml:space="preserve">Platform and pack team</t>
  </si>
  <si>
    <t xml:space="preserve">SOC 1 Type 2 report</t>
  </si>
  <si>
    <t xml:space="preserve">AI usage (Claude 5.5, routed)</t>
  </si>
  <si>
    <t xml:space="preserve">Exception desk</t>
  </si>
  <si>
    <t xml:space="preserve">AE-OS route total</t>
  </si>
  <si>
    <t xml:space="preserve">Value created by AE-OS beyond the SAP route: tier B (measurable)</t>
  </si>
  <si>
    <t xml:space="preserve">Integration and EDI</t>
  </si>
  <si>
    <t xml:space="preserve">Audit and compliance</t>
  </si>
  <si>
    <t xml:space="preserve">Back-office automation</t>
  </si>
  <si>
    <t xml:space="preserve">Tier B total</t>
  </si>
  <si>
    <t xml:space="preserve">Value created: tier C (judgement)</t>
  </si>
  <si>
    <t xml:space="preserve">Working capital</t>
  </si>
  <si>
    <t xml:space="preserve">Premium freight</t>
  </si>
  <si>
    <t xml:space="preserve">Early-payment discounts</t>
  </si>
  <si>
    <t xml:space="preserve">Tier C total</t>
  </si>
  <si>
    <t xml:space="preserve">AE-OS advantage over the SAP route (positive = AE-OS better)</t>
  </si>
  <si>
    <t xml:space="preserve">Cost only</t>
  </si>
  <si>
    <t xml:space="preserve">Cost + tier B value</t>
  </si>
  <si>
    <t xml:space="preserve">Cost + tier B + tier C value</t>
  </si>
  <si>
    <t xml:space="preserve">Cumulative, cost + tier B</t>
  </si>
  <si>
    <t xml:space="preserve">Results from the paper's reference calculation (values, for checking the live Model sheet)</t>
  </si>
  <si>
    <t xml:space="preserve">Profile</t>
  </si>
  <si>
    <t xml:space="preserve">SAP 7-yr cost</t>
  </si>
  <si>
    <t xml:space="preserve">AE-OS 7-yr cost</t>
  </si>
  <si>
    <t xml:space="preserve">SAP run/yr</t>
  </si>
  <si>
    <t xml:space="preserve">AE-OS run/yr</t>
  </si>
  <si>
    <t xml:space="preserve">Tier B value/yr</t>
  </si>
  <si>
    <t xml:space="preserve">Tier C value/yr</t>
  </si>
  <si>
    <t xml:space="preserve">NPV cost only</t>
  </si>
  <si>
    <t xml:space="preserve">NPV + tier B</t>
  </si>
  <si>
    <t xml:space="preserve">NPV + tier B + C</t>
  </si>
  <si>
    <t xml:space="preserve">References used by the model</t>
  </si>
  <si>
    <t xml:space="preserve">econ-van-pricing-ordersync</t>
  </si>
  <si>
    <t xml:space="preserve">OrderSync. EDI VAN Explained: What It Is and When You Need One. OrderSync (vendor), 2026. VAN estimates: $0.02-0.15 per kilocharacter, $150-500/month base, $500-2,500 per trading-partner setup (vendor estimate).</t>
  </si>
  <si>
    <t xml:space="preserve">https://ordersync.io/blog/edi-van-explained</t>
  </si>
  <si>
    <t xml:space="preserve">econ-van-peppol-acume</t>
  </si>
  <si>
    <t xml:space="preserve">S. Wills. EDI via VAN vs Peppol eInvoicing: What's Actually Different and What It Costs. Acume (vendor), 2026. VAN $0.05-0.50+ per document and $1,000-5,000 per connection vs Peppol about $0.05 per document (vendor estimate).</t>
  </si>
  <si>
    <t xml:space="preserve">https://acumelimited.com/edi-van-vs-peppol-einvoicing/</t>
  </si>
  <si>
    <t xml:space="preserve">econ-ferf-auditfees-2024</t>
  </si>
  <si>
    <t xml:space="preserve">Financial Executives Research Foundation. 16th Annual Audit Fee Survey (FY2024) press release. FEI, 2026. Audit fees 0.116% of revenue at $1-5B revenue and 0.057% above $5B; S&amp;P 500 median $7.96M.</t>
  </si>
  <si>
    <t xml:space="preserve">https://www.financialexecutives.org/About-FEI/For-the-Press/2026/ferf-16th-annual-audit-fee-survey-2024-insights.aspx</t>
  </si>
  <si>
    <t xml:space="preserve">econ-protiviti-sox-2022</t>
  </si>
  <si>
    <t xml:space="preserve">Protiviti. 2022 Sarbanes-Oxley Compliance Survey. Protiviti, 2022. Internal SOX cost (excl. external audit) $1.40M at $1-4.99B revenue, $1.45M at $5-9.99B, $1.93M at $10B+.</t>
  </si>
  <si>
    <t xml:space="preserve">https://www.protiviti.com/sites/default/files/2022-06/2022-sox-compliance-survey-protiviti.pdf</t>
  </si>
  <si>
    <t xml:space="preserve">econ-joa-sox-2022</t>
  </si>
  <si>
    <t xml:space="preserve">Journal of Accountancy. Addressing continued rise in Sarbanes-Oxley Act compliance costs. AICPA, 2022. 41% of internal SOX costs outsourced; automated key controls rose from 33% to 50%.</t>
  </si>
  <si>
    <t xml:space="preserve">https://www.journalofaccountancy.com/news/2022/jun/addressing-continued-rise-sarbanes-oxley-act-compliance-costs</t>
  </si>
  <si>
    <t xml:space="preserve">econ-gartner-automation-auditfees</t>
  </si>
  <si>
    <t xml:space="preserve">Gartner. Gartner Survey Shows 62 Percent of Organizations Expect External Audit Fees to Increase in 2021. Gartner, 2021. Organizations automating at least 25% of internal controls paid 27% lower audit fees on average (n=166).</t>
  </si>
  <si>
    <t xml:space="preserve">https://www.gartner.com/en/newsroom/press-releases/2021-06-08-gartner-survey-shows-62-percent-of-organizations-expect-external-audit-fees-to-increase-in-2021</t>
  </si>
  <si>
    <t xml:space="preserve">APQC. Number of finance function FTEs per $1 billion revenue. APQC Open Standards Benchmarking, accessed 2026. Median 71.2 FTEs per $1B revenue (n=7,114).</t>
  </si>
  <si>
    <t xml:space="preserve">https://www.apqc.org/resources/benchmarking/open-standards-benchmarking/measures/number-finance-function-ftes-1-billion</t>
  </si>
  <si>
    <t xml:space="preserve">econ-hackett-dwc-finance-2025</t>
  </si>
  <si>
    <t xml:space="preserve">The Hackett Group. Digital World Class Finance Teams Operate at 45% Lower Cost and Deliver Faster, Smarter Insights. Business Wire, 2025. 45% lower finance cost as % of revenue, up to 42% fewer FTEs, 35-57% shorter close (consultancy benchmark).</t>
  </si>
  <si>
    <t xml:space="preserve">https://www.businesswire.com/news/home/20250609892641/en/The-Hackett-Group-Digital-World-Class-Finance-Teams-Operate-at-45-Lower-Cost-and-Deliver-Faster-Smarter-Insights</t>
  </si>
  <si>
    <t xml:space="preserve">econ-hackett-wc-2025</t>
  </si>
  <si>
    <t xml:space="preserve">The Hackett Group. 2025 Working Capital Survey: Payables Rebound but Receivables and Inventory Lag. Business Wire, 2025. $1.7T excess working capital in top 1,000 US non-financial firms (11% of revenue); CCC 37 days; 18-day DSO gap top vs median.</t>
  </si>
  <si>
    <t xml:space="preserve">https://www.businesswire.com/news/home/20250818205819/en/The-Hackett-Group-2025-Working-Capital-Survey-Payables-Rebound-but-Receivables-and-Inventory-Lag</t>
  </si>
  <si>
    <t xml:space="preserve">econ-apqc-discounts</t>
  </si>
  <si>
    <t xml:space="preserve">APQC. Percentage of discounts available that are taken. APQC Open Standards Benchmarking, accessed 2026. Median 65.0% of early-payment discounts captured (n=2,076).</t>
  </si>
  <si>
    <t xml:space="preserve">https://www.apqc.org/resources/benchmarking/open-standards-benchmarking/measures/percentage-discounts-available-are</t>
  </si>
  <si>
    <t xml:space="preserve">C. L. Purchase (citing APQC). Inventory Optimization: Show Me the Money. Logistics Management, 2011. Median inventory carrying cost 10% of inventory value (top 7.3%, bottom 16.4%).</t>
  </si>
  <si>
    <t xml:space="preserve">https://www.logisticsmgmt.com/article/inventory_optimization_show_me_the_money</t>
  </si>
  <si>
    <t xml:space="preserve">APQC. Premium freight charges as a percentage of total freight charges. APQC Open Standards Benchmarking, accessed 2026. Median 8.0% (n=1,964).</t>
  </si>
  <si>
    <t xml:space="preserve">https://www.apqc.org/resources/benchmarking/open-standards-benchmarking/measures/premium-freight-charges-percentage</t>
  </si>
  <si>
    <t xml:space="preserve">econ-mckinsey-ai-scm</t>
  </si>
  <si>
    <t xml:space="preserve">K. Alicke et al. Succeeding in the AI supply-chain revolution. McKinsey &amp; Company, 2021. Consultancy claim: AI-enabled SCM early adopters improved logistics costs 15%, inventory 35%, service levels 65%.</t>
  </si>
  <si>
    <t xml:space="preserve">https://www.mckinsey.com/industries/metals-and-mining/our-insights/succeeding-in-the-ai-supply-chain-revolution</t>
  </si>
  <si>
    <t xml:space="preserve">econ-deloitte-ap-agent</t>
  </si>
  <si>
    <t xml:space="preserve">Deloitte. Hands off the task, eyes on the outcome (case study). Deloitte, 2026. Consumer-products AP: 92% touchless processing and 50% fewer invoice-processing FTEs (single client).</t>
  </si>
  <si>
    <t xml:space="preserve">https://www.deloitte.com/us/en/what-we-do/case-studies/hands-off-the-task-eyes-on-the-outcome.html</t>
  </si>
  <si>
    <t xml:space="preserve">econ-bls-accountants-2023</t>
  </si>
  <si>
    <t xml:space="preserve">U.S. Bureau of Labor Statistics. Occupational Employment and Wages, May 2023: 13-2011 Accountants and Auditors. BLS, 2024. Mean annual wage $90,780.</t>
  </si>
  <si>
    <t xml:space="preserve">https://www.bls.gov/oes/2023/may/oes132011.htm</t>
  </si>
  <si>
    <t xml:space="preserve">econ-bls-clerks-2023</t>
  </si>
  <si>
    <t xml:space="preserve">U.S. Bureau of Labor Statistics. Occupational Employment and Wages, May 2023: 43-3031 Bookkeeping, Accounting, and Auditing Clerks. BLS, 2024. Mean annual wage $49,580.</t>
  </si>
  <si>
    <t xml:space="preserve">https://www.bls.gov/oes/2023/may/oes433031.htm</t>
  </si>
  <si>
    <t xml:space="preserve">econ-bls-ecec-2026</t>
  </si>
  <si>
    <t xml:space="preserve">U.S. Bureau of Labor Statistics. Employer Costs for Employee Compensation - June 2026. BLS, 2026. Wages 70.0% of private-industry employer compensation cost (benefits 30.0%).</t>
  </si>
  <si>
    <t xml:space="preserve">https://www.bls.gov/news.release/ecec.nr0.htm</t>
  </si>
  <si>
    <t xml:space="preserve">econ-hyperbots-s4</t>
  </si>
  <si>
    <t xml:space="preserve">Hyperbots. SAP S/4HANA Pricing Explained: What Finance Leaders Actually End Up Paying. Hyperbots (vendor blog), 2026. Private Edition ~1,000-user deal $1.5-2M/yr after discounts; 500-2,000 users: implementation $5-25M, 5-year TCO $15-45M.</t>
  </si>
  <si>
    <t xml:space="preserve">https://blog.hyperbots.com/sap-s-4hana-pricing-explained-what-finance-leaders-actually-end-up-paying</t>
  </si>
  <si>
    <t xml:space="preserve">econ-redress-rise</t>
  </si>
  <si>
    <t xml:space="preserve">Redress Compliance. RISE with SAP: What the All-In-One Deal Really Costs. Redress Compliance (licensing advisory), 2026. Professional users EUR 500-1,500/yr list, EUR 350-800 effective above 1,000 users; ongoing spend 40-50% above the subscription line.</t>
  </si>
  <si>
    <t xml:space="preserve">https://redresscompliance.com/sap-rise-what-it-really-costs.html</t>
  </si>
  <si>
    <t xml:space="preserve">si-anthropic-pricing</t>
  </si>
  <si>
    <t xml:space="preserve">Anthropic. Pricing: model pricing per million tokens (base input, cache hits, output) for Claude Haiku 5.5, Sonnet 5.5 and Opus 5.5. Claude Platform documentation, accessed 12 Oct 2026.</t>
  </si>
  <si>
    <t xml:space="preserve">https://platform.claude.com/docs/en/about-claude/pricing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</si>
</sst>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%"/>
    <numFmt numFmtId="167" formatCode="#,##0.00;[RED]\-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A1D20"/>
      <name val="Arial"/>
      <family val="0"/>
      <charset val="1"/>
    </font>
    <font>
      <i val="true"/>
      <sz val="9"/>
      <color rgb="FF5A6470"/>
      <name val="Arial"/>
      <family val="0"/>
      <charset val="1"/>
    </font>
    <font>
      <sz val="10"/>
      <color rgb="FF1A1D20"/>
      <name val="Arial"/>
      <family val="0"/>
      <charset val="1"/>
    </font>
    <font>
      <b val="true"/>
      <sz val="10"/>
      <color rgb="FF1A1D20"/>
      <name val="Arial"/>
      <family val="0"/>
      <charset val="1"/>
    </font>
    <font>
      <b val="true"/>
      <sz val="11"/>
      <color rgb="FF0052C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52CC"/>
      <name val="Arial"/>
      <family val="0"/>
      <charset val="1"/>
    </font>
    <font>
      <sz val="9"/>
      <color rgb="FF0052C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6F0FF"/>
        <bgColor rgb="FFEEF1F4"/>
      </patternFill>
    </fill>
    <fill>
      <patternFill patternType="solid">
        <fgColor rgb="FF1A1D20"/>
        <bgColor rgb="FF333300"/>
      </patternFill>
    </fill>
    <fill>
      <patternFill patternType="solid">
        <fgColor rgb="FFEEF1F4"/>
        <bgColor rgb="FFE6F0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5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C6282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1F4"/>
      <rgbColor rgb="FFE6F0FF"/>
      <rgbColor rgb="FF660066"/>
      <rgbColor rgb="FFFF8080"/>
      <rgbColor rgb="FF0052CC"/>
      <rgbColor rgb="FFD0D5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70"/>
      <rgbColor rgb="FF969696"/>
      <rgbColor rgb="FF003366"/>
      <rgbColor rgb="FF339966"/>
      <rgbColor rgb="FF003300"/>
      <rgbColor rgb="FF333300"/>
      <rgbColor rgb="FFC62828"/>
      <rgbColor rgb="FF993366"/>
      <rgbColor rgb="FF333399"/>
      <rgbColor rgb="FF1A1D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0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4"/>
    </row>
    <row r="4" customFormat="false" ht="15" hidden="false" customHeight="true" outlineLevel="0" collapsed="false">
      <c r="A4" s="5" t="s">
        <v>2</v>
      </c>
    </row>
    <row r="5" customFormat="false" ht="15" hidden="false" customHeight="true" outlineLevel="0" collapsed="false">
      <c r="A5" s="4" t="s">
        <v>3</v>
      </c>
    </row>
    <row r="6" customFormat="false" ht="15" hidden="false" customHeight="true" outlineLevel="0" collapsed="false">
      <c r="A6" s="4" t="s">
        <v>4</v>
      </c>
    </row>
    <row r="7" customFormat="false" ht="15" hidden="false" customHeight="true" outlineLevel="0" collapsed="false">
      <c r="A7" s="4" t="s">
        <v>5</v>
      </c>
    </row>
    <row r="8" customFormat="false" ht="15" hidden="false" customHeight="true" outlineLevel="0" collapsed="false">
      <c r="A8" s="4" t="s">
        <v>6</v>
      </c>
    </row>
    <row r="9" customFormat="false" ht="15" hidden="false" customHeight="true" outlineLevel="0" collapsed="false">
      <c r="A9" s="4"/>
    </row>
    <row r="10" customFormat="false" ht="15" hidden="false" customHeight="true" outlineLevel="0" collapsed="false">
      <c r="A10" s="5" t="s">
        <v>7</v>
      </c>
    </row>
    <row r="11" customFormat="false" ht="15" hidden="false" customHeight="true" outlineLevel="0" collapsed="false">
      <c r="A11" s="4" t="s">
        <v>8</v>
      </c>
    </row>
    <row r="12" customFormat="false" ht="15" hidden="false" customHeight="true" outlineLevel="0" collapsed="false">
      <c r="A12" s="4" t="s">
        <v>9</v>
      </c>
    </row>
    <row r="13" customFormat="false" ht="15" hidden="false" customHeight="true" outlineLevel="0" collapsed="false">
      <c r="A13" s="4" t="s">
        <v>10</v>
      </c>
    </row>
    <row r="14" customFormat="false" ht="15" hidden="false" customHeight="true" outlineLevel="0" collapsed="false">
      <c r="A14" s="4" t="s">
        <v>11</v>
      </c>
    </row>
    <row r="15" customFormat="false" ht="15" hidden="false" customHeight="true" outlineLevel="0" collapsed="false">
      <c r="A15" s="4" t="s">
        <v>12</v>
      </c>
    </row>
    <row r="16" customFormat="false" ht="15" hidden="false" customHeight="true" outlineLevel="0" collapsed="false">
      <c r="A16" s="4"/>
    </row>
    <row r="17" customFormat="false" ht="15" hidden="false" customHeight="true" outlineLevel="0" collapsed="false">
      <c r="A17" s="5" t="s">
        <v>13</v>
      </c>
    </row>
    <row r="18" customFormat="false" ht="15" hidden="false" customHeight="true" outlineLevel="0" collapsed="false">
      <c r="A18" s="4" t="s">
        <v>14</v>
      </c>
    </row>
    <row r="19" customFormat="false" ht="15" hidden="false" customHeight="true" outlineLevel="0" collapsed="false">
      <c r="A19" s="4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5" min="2" style="1" width="14"/>
    <col collapsed="false" customWidth="true" hidden="false" outlineLevel="0" max="6" min="6" style="1" width="90"/>
  </cols>
  <sheetData>
    <row r="1" customFormat="false" ht="17.25" hidden="false" customHeight="true" outlineLevel="0" collapsed="false">
      <c r="A1" s="2" t="s">
        <v>16</v>
      </c>
    </row>
    <row r="3" customFormat="false" ht="15" hidden="false" customHeight="true" outlineLevel="0" collapsed="false">
      <c r="A3" s="5" t="s">
        <v>17</v>
      </c>
      <c r="B3" s="6" t="s">
        <v>18</v>
      </c>
      <c r="C3" s="3" t="s">
        <v>19</v>
      </c>
    </row>
    <row r="4" customFormat="false" ht="15" hidden="false" customHeight="true" outlineLevel="0" collapsed="false">
      <c r="A4" s="5" t="s">
        <v>20</v>
      </c>
      <c r="B4" s="6" t="s">
        <v>21</v>
      </c>
      <c r="C4" s="3" t="s">
        <v>22</v>
      </c>
    </row>
    <row r="6" customFormat="false" ht="15" hidden="false" customHeight="true" outlineLevel="0" collapsed="false">
      <c r="A6" s="7" t="s">
        <v>23</v>
      </c>
      <c r="B6" s="7" t="s">
        <v>18</v>
      </c>
      <c r="C6" s="7" t="s">
        <v>24</v>
      </c>
      <c r="D6" s="7" t="s">
        <v>25</v>
      </c>
      <c r="E6" s="7" t="s">
        <v>26</v>
      </c>
      <c r="F6" s="7" t="s">
        <v>27</v>
      </c>
    </row>
    <row r="7" customFormat="false" ht="15" hidden="false" customHeight="true" outlineLevel="0" collapsed="false">
      <c r="A7" s="4" t="s">
        <v>28</v>
      </c>
      <c r="B7" s="8" t="n">
        <v>1500</v>
      </c>
      <c r="C7" s="8" t="n">
        <v>10000</v>
      </c>
      <c r="D7" s="9" t="n">
        <f aca="false">IF($B$3="L",C7,B7)</f>
        <v>1500</v>
      </c>
      <c r="E7" s="3" t="s">
        <v>29</v>
      </c>
      <c r="F7" s="3" t="s">
        <v>30</v>
      </c>
    </row>
    <row r="8" customFormat="false" ht="15" hidden="false" customHeight="true" outlineLevel="0" collapsed="false">
      <c r="A8" s="4" t="s">
        <v>31</v>
      </c>
      <c r="B8" s="8" t="n">
        <v>20</v>
      </c>
      <c r="C8" s="8" t="n">
        <v>40</v>
      </c>
      <c r="D8" s="9" t="n">
        <f aca="false">IF($B$3="L",C8,B8)</f>
        <v>20</v>
      </c>
      <c r="E8" s="3" t="s">
        <v>32</v>
      </c>
      <c r="F8" s="3" t="s">
        <v>33</v>
      </c>
    </row>
    <row r="9" customFormat="false" ht="15" hidden="false" customHeight="true" outlineLevel="0" collapsed="false">
      <c r="A9" s="4" t="s">
        <v>34</v>
      </c>
      <c r="B9" s="8" t="n">
        <v>12</v>
      </c>
      <c r="C9" s="8" t="n">
        <v>53</v>
      </c>
      <c r="D9" s="9" t="n">
        <f aca="false">IF($B$3="L",C9,B9)</f>
        <v>12</v>
      </c>
      <c r="E9" s="3" t="s">
        <v>29</v>
      </c>
      <c r="F9" s="3" t="s">
        <v>35</v>
      </c>
    </row>
    <row r="10" customFormat="false" ht="15" hidden="false" customHeight="true" outlineLevel="0" collapsed="false">
      <c r="A10" s="4" t="s">
        <v>36</v>
      </c>
      <c r="B10" s="8" t="n">
        <v>1.75</v>
      </c>
      <c r="C10" s="8" t="n">
        <v>6</v>
      </c>
      <c r="D10" s="9" t="n">
        <f aca="false">IF($B$3="L",C10,B10)</f>
        <v>1.75</v>
      </c>
      <c r="E10" s="3" t="s">
        <v>37</v>
      </c>
      <c r="F10" s="3" t="s">
        <v>38</v>
      </c>
    </row>
    <row r="11" customFormat="false" ht="15" hidden="false" customHeight="true" outlineLevel="0" collapsed="false">
      <c r="A11" s="4" t="s">
        <v>39</v>
      </c>
      <c r="B11" s="8" t="n">
        <v>1000000</v>
      </c>
      <c r="C11" s="8" t="n">
        <v>5000000</v>
      </c>
      <c r="D11" s="9" t="n">
        <f aca="false">IF($B$3="L",C11,B11)</f>
        <v>1000000</v>
      </c>
      <c r="E11" s="3" t="s">
        <v>32</v>
      </c>
      <c r="F11" s="3" t="s">
        <v>40</v>
      </c>
    </row>
    <row r="12" customFormat="false" ht="15" hidden="false" customHeight="true" outlineLevel="0" collapsed="false">
      <c r="A12" s="4" t="s">
        <v>41</v>
      </c>
      <c r="B12" s="8" t="n">
        <v>400</v>
      </c>
      <c r="C12" s="8" t="n">
        <v>2000</v>
      </c>
      <c r="D12" s="9" t="n">
        <f aca="false">IF($B$3="L",C12,B12)</f>
        <v>400</v>
      </c>
      <c r="E12" s="3" t="s">
        <v>32</v>
      </c>
      <c r="F12" s="3" t="s">
        <v>42</v>
      </c>
    </row>
    <row r="13" customFormat="false" ht="15" hidden="false" customHeight="true" outlineLevel="0" collapsed="false">
      <c r="A13" s="4" t="s">
        <v>43</v>
      </c>
      <c r="B13" s="8" t="n">
        <v>0.45</v>
      </c>
      <c r="C13" s="8" t="n">
        <v>1.8</v>
      </c>
      <c r="D13" s="9" t="n">
        <f aca="false">IF($B$3="L",C13,B13)</f>
        <v>0.45</v>
      </c>
      <c r="E13" s="3" t="s">
        <v>37</v>
      </c>
      <c r="F13" s="3" t="s">
        <v>44</v>
      </c>
    </row>
    <row r="14" customFormat="false" ht="15" hidden="false" customHeight="true" outlineLevel="0" collapsed="false">
      <c r="A14" s="4" t="s">
        <v>45</v>
      </c>
      <c r="B14" s="8" t="n">
        <v>6</v>
      </c>
      <c r="C14" s="8" t="n">
        <v>20</v>
      </c>
      <c r="D14" s="9" t="n">
        <f aca="false">IF($B$3="L",C14,B14)</f>
        <v>6</v>
      </c>
      <c r="E14" s="3" t="s">
        <v>46</v>
      </c>
      <c r="F14" s="3" t="s">
        <v>47</v>
      </c>
    </row>
    <row r="15" customFormat="false" ht="15" hidden="false" customHeight="true" outlineLevel="0" collapsed="false">
      <c r="A15" s="4" t="s">
        <v>48</v>
      </c>
      <c r="B15" s="8" t="n">
        <v>0.25</v>
      </c>
      <c r="C15" s="8" t="n">
        <v>0.4</v>
      </c>
      <c r="D15" s="9" t="n">
        <f aca="false">IF($B$3="L",C15,B15)</f>
        <v>0.25</v>
      </c>
      <c r="E15" s="3" t="s">
        <v>37</v>
      </c>
      <c r="F15" s="3" t="s">
        <v>42</v>
      </c>
    </row>
    <row r="16" customFormat="false" ht="15" hidden="false" customHeight="true" outlineLevel="0" collapsed="false">
      <c r="A16" s="4" t="s">
        <v>49</v>
      </c>
      <c r="B16" s="8" t="n">
        <v>0.00116</v>
      </c>
      <c r="C16" s="8" t="n">
        <v>0.00057</v>
      </c>
      <c r="D16" s="9" t="n">
        <f aca="false">IF($B$3="L",C16,B16)</f>
        <v>0.00116</v>
      </c>
      <c r="E16" s="3" t="s">
        <v>50</v>
      </c>
      <c r="F16" s="3" t="s">
        <v>51</v>
      </c>
    </row>
    <row r="17" customFormat="false" ht="15" hidden="false" customHeight="true" outlineLevel="0" collapsed="false">
      <c r="A17" s="4" t="s">
        <v>52</v>
      </c>
      <c r="B17" s="8" t="n">
        <v>1.4</v>
      </c>
      <c r="C17" s="8" t="n">
        <v>1.93</v>
      </c>
      <c r="D17" s="9" t="n">
        <f aca="false">IF($B$3="L",C17,B17)</f>
        <v>1.4</v>
      </c>
      <c r="E17" s="3" t="s">
        <v>37</v>
      </c>
      <c r="F17" s="3" t="s">
        <v>53</v>
      </c>
    </row>
    <row r="18" customFormat="false" ht="15" hidden="false" customHeight="true" outlineLevel="0" collapsed="false">
      <c r="A18" s="4" t="s">
        <v>54</v>
      </c>
      <c r="B18" s="8" t="n">
        <v>0.12</v>
      </c>
      <c r="C18" s="8" t="n">
        <v>0.12</v>
      </c>
      <c r="D18" s="9" t="n">
        <f aca="false">IF($B$3="L",C18,B18)</f>
        <v>0.12</v>
      </c>
      <c r="E18" s="3" t="s">
        <v>50</v>
      </c>
      <c r="F18" s="3" t="s">
        <v>42</v>
      </c>
    </row>
    <row r="19" customFormat="false" ht="15" hidden="false" customHeight="true" outlineLevel="0" collapsed="false">
      <c r="A19" s="4" t="s">
        <v>55</v>
      </c>
      <c r="B19" s="8" t="n">
        <v>0.03</v>
      </c>
      <c r="C19" s="8" t="n">
        <v>0.03</v>
      </c>
      <c r="D19" s="9" t="n">
        <f aca="false">IF($B$3="L",C19,B19)</f>
        <v>0.03</v>
      </c>
      <c r="E19" s="3" t="s">
        <v>50</v>
      </c>
      <c r="F19" s="3" t="s">
        <v>42</v>
      </c>
    </row>
    <row r="21" customFormat="false" ht="15" hidden="false" customHeight="true" outlineLevel="0" collapsed="false">
      <c r="A21" s="7" t="s">
        <v>56</v>
      </c>
      <c r="B21" s="7" t="s">
        <v>57</v>
      </c>
      <c r="C21" s="7" t="s">
        <v>21</v>
      </c>
      <c r="D21" s="7" t="s">
        <v>58</v>
      </c>
      <c r="E21" s="7" t="s">
        <v>25</v>
      </c>
      <c r="F21" s="7" t="s">
        <v>27</v>
      </c>
    </row>
    <row r="22" customFormat="false" ht="15" hidden="false" customHeight="true" outlineLevel="0" collapsed="false">
      <c r="A22" s="4" t="s">
        <v>59</v>
      </c>
      <c r="B22" s="8" t="n">
        <v>1.1</v>
      </c>
      <c r="C22" s="8" t="n">
        <v>1</v>
      </c>
      <c r="D22" s="8" t="n">
        <v>0.75</v>
      </c>
      <c r="E22" s="9" t="n">
        <f aca="false">INDEX(B22:D22,MATCH($B$4,$B$21:$D$21,0))</f>
        <v>1</v>
      </c>
      <c r="F22" s="3" t="s">
        <v>60</v>
      </c>
    </row>
    <row r="23" customFormat="false" ht="15" hidden="false" customHeight="true" outlineLevel="0" collapsed="false">
      <c r="A23" s="4" t="s">
        <v>61</v>
      </c>
      <c r="B23" s="8" t="n">
        <v>0.00125</v>
      </c>
      <c r="C23" s="8" t="n">
        <v>0.000599</v>
      </c>
      <c r="D23" s="8" t="n">
        <v>0.0003</v>
      </c>
      <c r="E23" s="9" t="n">
        <f aca="false">INDEX(B23:D23,MATCH($B$4,$B$21:$D$21,0))</f>
        <v>0.000599</v>
      </c>
      <c r="F23" s="3" t="s">
        <v>62</v>
      </c>
    </row>
    <row r="24" customFormat="false" ht="15" hidden="false" customHeight="true" outlineLevel="0" collapsed="false">
      <c r="A24" s="4" t="s">
        <v>63</v>
      </c>
      <c r="B24" s="8" t="n">
        <v>0.5</v>
      </c>
      <c r="C24" s="8" t="n">
        <v>0.2</v>
      </c>
      <c r="D24" s="8" t="n">
        <v>0.1</v>
      </c>
      <c r="E24" s="9" t="n">
        <f aca="false">INDEX(B24:D24,MATCH($B$4,$B$21:$D$21,0))</f>
        <v>0.2</v>
      </c>
      <c r="F24" s="3" t="s">
        <v>64</v>
      </c>
    </row>
    <row r="25" customFormat="false" ht="15" hidden="false" customHeight="true" outlineLevel="0" collapsed="false">
      <c r="A25" s="4" t="s">
        <v>65</v>
      </c>
      <c r="B25" s="8" t="n">
        <v>0.3</v>
      </c>
      <c r="C25" s="8" t="n">
        <v>0.6</v>
      </c>
      <c r="D25" s="8" t="n">
        <v>0.9</v>
      </c>
      <c r="E25" s="9" t="n">
        <f aca="false">INDEX(B25:D25,MATCH($B$4,$B$21:$D$21,0))</f>
        <v>0.6</v>
      </c>
      <c r="F25" s="3" t="s">
        <v>66</v>
      </c>
    </row>
    <row r="26" customFormat="false" ht="15" hidden="false" customHeight="true" outlineLevel="0" collapsed="false">
      <c r="A26" s="4" t="s">
        <v>67</v>
      </c>
      <c r="B26" s="8" t="n">
        <v>0.3</v>
      </c>
      <c r="C26" s="8" t="n">
        <v>0.5</v>
      </c>
      <c r="D26" s="8" t="n">
        <v>0.7</v>
      </c>
      <c r="E26" s="9" t="n">
        <f aca="false">INDEX(B26:D26,MATCH($B$4,$B$21:$D$21,0))</f>
        <v>0.5</v>
      </c>
      <c r="F26" s="3" t="s">
        <v>42</v>
      </c>
    </row>
    <row r="27" customFormat="false" ht="15" hidden="false" customHeight="true" outlineLevel="0" collapsed="false">
      <c r="A27" s="4" t="s">
        <v>68</v>
      </c>
      <c r="B27" s="8" t="n">
        <v>0</v>
      </c>
      <c r="C27" s="8" t="n">
        <v>0.1</v>
      </c>
      <c r="D27" s="8" t="n">
        <v>0.2</v>
      </c>
      <c r="E27" s="9" t="n">
        <f aca="false">INDEX(B27:D27,MATCH($B$4,$B$21:$D$21,0))</f>
        <v>0.1</v>
      </c>
      <c r="F27" s="3" t="s">
        <v>69</v>
      </c>
    </row>
    <row r="28" customFormat="false" ht="15" hidden="false" customHeight="true" outlineLevel="0" collapsed="false">
      <c r="A28" s="4" t="s">
        <v>70</v>
      </c>
      <c r="B28" s="8" t="n">
        <v>0.15</v>
      </c>
      <c r="C28" s="8" t="n">
        <v>0.3</v>
      </c>
      <c r="D28" s="8" t="n">
        <v>0.5</v>
      </c>
      <c r="E28" s="9" t="n">
        <f aca="false">INDEX(B28:D28,MATCH($B$4,$B$21:$D$21,0))</f>
        <v>0.3</v>
      </c>
      <c r="F28" s="3" t="s">
        <v>71</v>
      </c>
    </row>
    <row r="29" customFormat="false" ht="15" hidden="false" customHeight="true" outlineLevel="0" collapsed="false">
      <c r="A29" s="4" t="s">
        <v>72</v>
      </c>
      <c r="B29" s="8" t="n">
        <v>0.15</v>
      </c>
      <c r="C29" s="8" t="n">
        <v>0.25</v>
      </c>
      <c r="D29" s="8" t="n">
        <v>0.4</v>
      </c>
      <c r="E29" s="9" t="n">
        <f aca="false">INDEX(B29:D29,MATCH($B$4,$B$21:$D$21,0))</f>
        <v>0.25</v>
      </c>
      <c r="F29" s="3" t="s">
        <v>73</v>
      </c>
    </row>
    <row r="30" customFormat="false" ht="15" hidden="false" customHeight="true" outlineLevel="0" collapsed="false">
      <c r="A30" s="4" t="s">
        <v>74</v>
      </c>
      <c r="B30" s="8" t="n">
        <v>0.1</v>
      </c>
      <c r="C30" s="8" t="n">
        <v>0.08</v>
      </c>
      <c r="D30" s="8" t="n">
        <v>0.05</v>
      </c>
      <c r="E30" s="9" t="n">
        <f aca="false">INDEX(B30:D30,MATCH($B$4,$B$21:$D$21,0))</f>
        <v>0.08</v>
      </c>
      <c r="F30" s="3" t="s">
        <v>75</v>
      </c>
    </row>
    <row r="31" customFormat="false" ht="15" hidden="false" customHeight="true" outlineLevel="0" collapsed="false">
      <c r="A31" s="4" t="s">
        <v>76</v>
      </c>
      <c r="B31" s="8" t="n">
        <v>0</v>
      </c>
      <c r="C31" s="8" t="n">
        <v>2</v>
      </c>
      <c r="D31" s="8" t="n">
        <v>5</v>
      </c>
      <c r="E31" s="9" t="n">
        <f aca="false">INDEX(B31:D31,MATCH($B$4,$B$21:$D$21,0))</f>
        <v>2</v>
      </c>
      <c r="F31" s="3" t="s">
        <v>77</v>
      </c>
    </row>
    <row r="32" customFormat="false" ht="15" hidden="false" customHeight="true" outlineLevel="0" collapsed="false">
      <c r="A32" s="4" t="s">
        <v>78</v>
      </c>
      <c r="B32" s="8" t="n">
        <v>0</v>
      </c>
      <c r="C32" s="8" t="n">
        <v>0.03</v>
      </c>
      <c r="D32" s="8" t="n">
        <v>0.08</v>
      </c>
      <c r="E32" s="9" t="n">
        <f aca="false">INDEX(B32:D32,MATCH($B$4,$B$21:$D$21,0))</f>
        <v>0.03</v>
      </c>
      <c r="F32" s="3" t="s">
        <v>79</v>
      </c>
    </row>
    <row r="33" customFormat="false" ht="15" hidden="false" customHeight="true" outlineLevel="0" collapsed="false">
      <c r="A33" s="4" t="s">
        <v>80</v>
      </c>
      <c r="B33" s="8" t="n">
        <v>0</v>
      </c>
      <c r="C33" s="8" t="n">
        <v>0.15</v>
      </c>
      <c r="D33" s="8" t="n">
        <v>0.3</v>
      </c>
      <c r="E33" s="9" t="n">
        <f aca="false">INDEX(B33:D33,MATCH($B$4,$B$21:$D$21,0))</f>
        <v>0.15</v>
      </c>
      <c r="F33" s="3" t="s">
        <v>81</v>
      </c>
    </row>
    <row r="34" customFormat="false" ht="15" hidden="false" customHeight="true" outlineLevel="0" collapsed="false">
      <c r="A34" s="4" t="s">
        <v>82</v>
      </c>
      <c r="B34" s="8" t="n">
        <v>0</v>
      </c>
      <c r="C34" s="8" t="n">
        <v>0.1</v>
      </c>
      <c r="D34" s="8" t="n">
        <v>0.25</v>
      </c>
      <c r="E34" s="9" t="n">
        <f aca="false">INDEX(B34:D34,MATCH($B$4,$B$21:$D$21,0))</f>
        <v>0.1</v>
      </c>
      <c r="F34" s="3" t="s">
        <v>83</v>
      </c>
    </row>
    <row r="36" customFormat="false" ht="15" hidden="false" customHeight="true" outlineLevel="0" collapsed="false">
      <c r="A36" s="7" t="s">
        <v>84</v>
      </c>
      <c r="B36" s="7" t="s">
        <v>85</v>
      </c>
      <c r="C36" s="7"/>
      <c r="D36" s="7"/>
      <c r="E36" s="7"/>
      <c r="F36" s="7" t="s">
        <v>27</v>
      </c>
    </row>
    <row r="37" customFormat="false" ht="15" hidden="false" customHeight="true" outlineLevel="0" collapsed="false">
      <c r="A37" s="4" t="s">
        <v>86</v>
      </c>
      <c r="B37" s="8" t="n">
        <v>0.08</v>
      </c>
      <c r="F37" s="3" t="s">
        <v>42</v>
      </c>
    </row>
    <row r="38" customFormat="false" ht="15" hidden="false" customHeight="true" outlineLevel="0" collapsed="false">
      <c r="A38" s="4" t="s">
        <v>87</v>
      </c>
      <c r="B38" s="8" t="n">
        <v>0.1</v>
      </c>
      <c r="F38" s="3" t="s">
        <v>88</v>
      </c>
    </row>
    <row r="39" customFormat="false" ht="15" hidden="false" customHeight="true" outlineLevel="0" collapsed="false">
      <c r="A39" s="4" t="s">
        <v>89</v>
      </c>
      <c r="B39" s="8" t="n">
        <v>0.18</v>
      </c>
      <c r="F39" s="3" t="s">
        <v>42</v>
      </c>
    </row>
    <row r="40" customFormat="false" ht="15" hidden="false" customHeight="true" outlineLevel="0" collapsed="false">
      <c r="A40" s="4" t="s">
        <v>90</v>
      </c>
      <c r="B40" s="8" t="n">
        <v>71.2</v>
      </c>
      <c r="F40" s="3" t="s">
        <v>91</v>
      </c>
    </row>
    <row r="41" customFormat="false" ht="15" hidden="false" customHeight="true" outlineLevel="0" collapsed="false">
      <c r="A41" s="4" t="s">
        <v>92</v>
      </c>
      <c r="B41" s="8" t="n">
        <v>0.45</v>
      </c>
      <c r="F41" s="3" t="s">
        <v>93</v>
      </c>
    </row>
    <row r="42" customFormat="false" ht="15" hidden="false" customHeight="true" outlineLevel="0" collapsed="false">
      <c r="A42" s="4" t="s">
        <v>94</v>
      </c>
      <c r="B42" s="8" t="n">
        <v>1500</v>
      </c>
      <c r="F42" s="3" t="s">
        <v>42</v>
      </c>
    </row>
    <row r="43" customFormat="false" ht="15" hidden="false" customHeight="true" outlineLevel="0" collapsed="false">
      <c r="A43" s="4" t="s">
        <v>95</v>
      </c>
      <c r="B43" s="8" t="n">
        <v>0.25</v>
      </c>
      <c r="F43" s="3" t="s">
        <v>96</v>
      </c>
    </row>
    <row r="44" customFormat="false" ht="15" hidden="false" customHeight="true" outlineLevel="0" collapsed="false">
      <c r="A44" s="4" t="s">
        <v>97</v>
      </c>
      <c r="B44" s="8" t="n">
        <v>0.05</v>
      </c>
      <c r="F44" s="3" t="s">
        <v>98</v>
      </c>
    </row>
    <row r="45" customFormat="false" ht="15" hidden="false" customHeight="true" outlineLevel="0" collapsed="false">
      <c r="A45" s="4" t="s">
        <v>99</v>
      </c>
      <c r="B45" s="8" t="n">
        <v>2500</v>
      </c>
      <c r="F45" s="3" t="s">
        <v>100</v>
      </c>
    </row>
    <row r="46" customFormat="false" ht="15" hidden="false" customHeight="true" outlineLevel="0" collapsed="false">
      <c r="A46" s="4" t="s">
        <v>101</v>
      </c>
      <c r="B46" s="8" t="n">
        <v>0.15</v>
      </c>
      <c r="F46" s="3" t="s">
        <v>42</v>
      </c>
    </row>
    <row r="47" customFormat="false" ht="15" hidden="false" customHeight="true" outlineLevel="0" collapsed="false">
      <c r="A47" s="4" t="s">
        <v>102</v>
      </c>
      <c r="B47" s="8" t="n">
        <v>2</v>
      </c>
      <c r="F47" s="3" t="s">
        <v>42</v>
      </c>
    </row>
    <row r="48" customFormat="false" ht="15" hidden="false" customHeight="true" outlineLevel="0" collapsed="false">
      <c r="A48" s="4" t="s">
        <v>103</v>
      </c>
      <c r="B48" s="8" t="n">
        <v>600</v>
      </c>
      <c r="F48" s="3" t="s">
        <v>104</v>
      </c>
    </row>
    <row r="49" customFormat="false" ht="15" hidden="false" customHeight="true" outlineLevel="0" collapsed="false">
      <c r="A49" s="4" t="s">
        <v>105</v>
      </c>
      <c r="B49" s="8" t="n">
        <v>6</v>
      </c>
      <c r="F49" s="3" t="s">
        <v>42</v>
      </c>
    </row>
    <row r="50" customFormat="false" ht="15" hidden="false" customHeight="true" outlineLevel="0" collapsed="false">
      <c r="A50" s="4" t="s">
        <v>106</v>
      </c>
      <c r="B50" s="8" t="n">
        <v>1680</v>
      </c>
      <c r="F50" s="3" t="s">
        <v>42</v>
      </c>
    </row>
    <row r="51" customFormat="false" ht="15" hidden="false" customHeight="true" outlineLevel="0" collapsed="false">
      <c r="A51" s="4" t="s">
        <v>107</v>
      </c>
      <c r="B51" s="8" t="n">
        <v>0.5</v>
      </c>
      <c r="F51" s="3" t="s">
        <v>42</v>
      </c>
    </row>
    <row r="52" customFormat="false" ht="15" hidden="false" customHeight="true" outlineLevel="0" collapsed="false">
      <c r="A52" s="4" t="s">
        <v>108</v>
      </c>
      <c r="B52" s="8" t="n">
        <v>0.1</v>
      </c>
      <c r="F52" s="3" t="s">
        <v>42</v>
      </c>
    </row>
    <row r="53" customFormat="false" ht="15" hidden="false" customHeight="true" outlineLevel="0" collapsed="false">
      <c r="A53" s="4" t="s">
        <v>109</v>
      </c>
      <c r="B53" s="8" t="n">
        <v>0.02</v>
      </c>
      <c r="F53" s="3" t="s">
        <v>110</v>
      </c>
    </row>
    <row r="54" customFormat="false" ht="15" hidden="false" customHeight="true" outlineLevel="0" collapsed="false">
      <c r="A54" s="4" t="s">
        <v>111</v>
      </c>
      <c r="B54" s="8" t="n">
        <v>0.1</v>
      </c>
      <c r="F54" s="3" t="s">
        <v>112</v>
      </c>
    </row>
    <row r="55" customFormat="false" ht="15" hidden="false" customHeight="true" outlineLevel="0" collapsed="false">
      <c r="A55" s="4" t="s">
        <v>113</v>
      </c>
      <c r="B55" s="8" t="n">
        <v>0.08</v>
      </c>
      <c r="F55" s="3" t="s">
        <v>114</v>
      </c>
    </row>
    <row r="56" customFormat="false" ht="15" hidden="false" customHeight="true" outlineLevel="0" collapsed="false">
      <c r="A56" s="4" t="s">
        <v>115</v>
      </c>
      <c r="B56" s="8" t="n">
        <v>0.15</v>
      </c>
      <c r="F56" s="3" t="s">
        <v>116</v>
      </c>
    </row>
    <row r="57" customFormat="false" ht="15" hidden="false" customHeight="true" outlineLevel="0" collapsed="false">
      <c r="A57" s="4" t="s">
        <v>117</v>
      </c>
      <c r="B57" s="8" t="n">
        <v>400</v>
      </c>
      <c r="F57" s="3" t="s">
        <v>118</v>
      </c>
    </row>
    <row r="58" customFormat="false" ht="15" hidden="false" customHeight="true" outlineLevel="0" collapsed="false">
      <c r="A58" s="4" t="s">
        <v>119</v>
      </c>
      <c r="B58" s="8" t="n">
        <v>300</v>
      </c>
      <c r="F58" s="3" t="s">
        <v>118</v>
      </c>
    </row>
    <row r="59" customFormat="false" ht="15" hidden="false" customHeight="true" outlineLevel="0" collapsed="false">
      <c r="A59" s="4" t="s">
        <v>120</v>
      </c>
      <c r="B59" s="8" t="n">
        <v>0.1</v>
      </c>
      <c r="F59" s="3" t="s">
        <v>118</v>
      </c>
    </row>
    <row r="60" customFormat="false" ht="15" hidden="false" customHeight="true" outlineLevel="0" collapsed="false">
      <c r="A60" s="4" t="s">
        <v>121</v>
      </c>
      <c r="B60" s="8" t="n">
        <v>175</v>
      </c>
      <c r="F60" s="3" t="s">
        <v>118</v>
      </c>
    </row>
    <row r="61" customFormat="false" ht="15" hidden="false" customHeight="true" outlineLevel="0" collapsed="false">
      <c r="A61" s="4" t="s">
        <v>122</v>
      </c>
      <c r="B61" s="8" t="n">
        <v>0.2</v>
      </c>
      <c r="F61" s="3" t="s">
        <v>118</v>
      </c>
    </row>
  </sheetData>
  <dataValidations count="2">
    <dataValidation allowBlank="false" errorStyle="stop" operator="between" showDropDown="false" showErrorMessage="false" showInputMessage="false" sqref="B3" type="list">
      <formula1>"M,L"</formula1>
      <formula2>0</formula2>
    </dataValidation>
    <dataValidation allowBlank="false" errorStyle="stop" operator="between" showDropDown="false" showErrorMessage="false" showInputMessage="false" sqref="B4" type="list">
      <formula1>"conservative,base,optimistic"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10" min="2" style="1" width="12"/>
  </cols>
  <sheetData>
    <row r="1" customFormat="false" ht="17.25" hidden="false" customHeight="true" outlineLevel="0" collapsed="false">
      <c r="A1" s="2" t="s">
        <v>123</v>
      </c>
    </row>
    <row r="2" customFormat="false" ht="15" hidden="false" customHeight="true" outlineLevel="0" collapsed="false">
      <c r="A2" s="3" t="str">
        <f aca="false">"Profile "&amp;Assumptions!B3&amp;" · scenario "&amp;Assumptions!B4</f>
        <v>Profile M · scenario base</v>
      </c>
    </row>
    <row r="4" customFormat="false" ht="15" hidden="false" customHeight="true" outlineLevel="0" collapsed="false">
      <c r="A4" s="10" t="s">
        <v>124</v>
      </c>
      <c r="B4" s="10" t="s">
        <v>125</v>
      </c>
      <c r="C4" s="10" t="s">
        <v>126</v>
      </c>
      <c r="D4" s="10" t="s">
        <v>127</v>
      </c>
      <c r="E4" s="10" t="s">
        <v>128</v>
      </c>
      <c r="F4" s="10" t="s">
        <v>129</v>
      </c>
      <c r="G4" s="10" t="s">
        <v>130</v>
      </c>
      <c r="H4" s="10" t="s">
        <v>131</v>
      </c>
      <c r="I4" s="10" t="s">
        <v>132</v>
      </c>
      <c r="J4" s="10" t="s">
        <v>133</v>
      </c>
    </row>
    <row r="5" customFormat="false" ht="15" hidden="false" customHeight="true" outlineLevel="0" collapsed="false">
      <c r="A5" s="11" t="s">
        <v>134</v>
      </c>
      <c r="B5" s="12"/>
      <c r="C5" s="12"/>
      <c r="D5" s="12"/>
      <c r="E5" s="12"/>
      <c r="F5" s="12"/>
      <c r="G5" s="12"/>
      <c r="H5" s="12"/>
      <c r="I5" s="12"/>
      <c r="J5" s="12"/>
    </row>
    <row r="6" customFormat="false" ht="15" hidden="false" customHeight="true" outlineLevel="0" collapsed="false">
      <c r="A6" s="13" t="s">
        <v>135</v>
      </c>
      <c r="B6" s="14" t="n">
        <v>0.5</v>
      </c>
      <c r="C6" s="14" t="n">
        <v>0.5</v>
      </c>
      <c r="D6" s="14" t="n">
        <v>0</v>
      </c>
      <c r="E6" s="14" t="n">
        <v>0</v>
      </c>
      <c r="F6" s="14" t="n">
        <v>0</v>
      </c>
      <c r="G6" s="14" t="n">
        <v>0</v>
      </c>
      <c r="H6" s="14" t="n">
        <v>0</v>
      </c>
      <c r="I6" s="15"/>
      <c r="J6" s="15"/>
    </row>
    <row r="7" customFormat="false" ht="15" hidden="false" customHeight="true" outlineLevel="0" collapsed="false">
      <c r="A7" s="13" t="s">
        <v>136</v>
      </c>
      <c r="B7" s="14" t="n">
        <v>0.45</v>
      </c>
      <c r="C7" s="14" t="n">
        <v>0.4</v>
      </c>
      <c r="D7" s="14" t="n">
        <v>0.15</v>
      </c>
      <c r="E7" s="14" t="n">
        <v>0</v>
      </c>
      <c r="F7" s="14" t="n">
        <v>0</v>
      </c>
      <c r="G7" s="14" t="n">
        <v>0</v>
      </c>
      <c r="H7" s="14" t="n">
        <v>0</v>
      </c>
      <c r="I7" s="15"/>
      <c r="J7" s="15"/>
    </row>
    <row r="8" customFormat="false" ht="15" hidden="false" customHeight="true" outlineLevel="0" collapsed="false">
      <c r="A8" s="13" t="s">
        <v>137</v>
      </c>
      <c r="B8" s="14" t="n">
        <v>0</v>
      </c>
      <c r="C8" s="14" t="n">
        <v>0</v>
      </c>
      <c r="D8" s="14" t="n">
        <v>1</v>
      </c>
      <c r="E8" s="14" t="n">
        <v>1</v>
      </c>
      <c r="F8" s="14" t="n">
        <v>1</v>
      </c>
      <c r="G8" s="14" t="n">
        <v>1</v>
      </c>
      <c r="H8" s="14" t="n">
        <v>1</v>
      </c>
      <c r="I8" s="15"/>
      <c r="J8" s="15"/>
    </row>
    <row r="9" customFormat="false" ht="15" hidden="false" customHeight="true" outlineLevel="0" collapsed="false">
      <c r="A9" s="13" t="s">
        <v>138</v>
      </c>
      <c r="B9" s="14" t="n">
        <v>0</v>
      </c>
      <c r="C9" s="14" t="n">
        <v>0.35</v>
      </c>
      <c r="D9" s="14" t="n">
        <v>0.85</v>
      </c>
      <c r="E9" s="14" t="n">
        <v>1</v>
      </c>
      <c r="F9" s="14" t="n">
        <v>1</v>
      </c>
      <c r="G9" s="14" t="n">
        <v>1</v>
      </c>
      <c r="H9" s="14" t="n">
        <v>1</v>
      </c>
      <c r="I9" s="15"/>
      <c r="J9" s="15"/>
    </row>
    <row r="10" customFormat="false" ht="15" hidden="false" customHeight="true" outlineLevel="0" collapsed="false">
      <c r="A10" s="13" t="s">
        <v>139</v>
      </c>
      <c r="B10" s="14" t="n">
        <v>0</v>
      </c>
      <c r="C10" s="14" t="n">
        <v>0.4</v>
      </c>
      <c r="D10" s="14" t="n">
        <v>0.7</v>
      </c>
      <c r="E10" s="14" t="n">
        <v>0.9</v>
      </c>
      <c r="F10" s="14" t="n">
        <v>1</v>
      </c>
      <c r="G10" s="14" t="n">
        <v>1</v>
      </c>
      <c r="H10" s="14" t="n">
        <v>1</v>
      </c>
      <c r="I10" s="15"/>
      <c r="J10" s="15"/>
    </row>
    <row r="11" customFormat="false" ht="15" hidden="false" customHeight="true" outlineLevel="0" collapsed="false">
      <c r="A11" s="11" t="s">
        <v>140</v>
      </c>
      <c r="B11" s="12"/>
      <c r="C11" s="12"/>
      <c r="D11" s="12"/>
      <c r="E11" s="12"/>
      <c r="F11" s="12"/>
      <c r="G11" s="12"/>
      <c r="H11" s="12"/>
      <c r="I11" s="12"/>
      <c r="J11" s="12"/>
    </row>
    <row r="12" customFormat="false" ht="15" hidden="false" customHeight="true" outlineLevel="0" collapsed="false">
      <c r="A12" s="13" t="s">
        <v>141</v>
      </c>
      <c r="B12" s="16" t="n">
        <f aca="false">sap_impl*B6</f>
        <v>6</v>
      </c>
      <c r="C12" s="16" t="n">
        <f aca="false">sap_impl*C6</f>
        <v>6</v>
      </c>
      <c r="D12" s="16" t="n">
        <f aca="false">sap_impl*D6</f>
        <v>0</v>
      </c>
      <c r="E12" s="16" t="n">
        <f aca="false">sap_impl*E6</f>
        <v>0</v>
      </c>
      <c r="F12" s="16" t="n">
        <f aca="false">sap_impl*F6</f>
        <v>0</v>
      </c>
      <c r="G12" s="16" t="n">
        <f aca="false">sap_impl*G6</f>
        <v>0</v>
      </c>
      <c r="H12" s="16" t="n">
        <f aca="false">sap_impl*H6</f>
        <v>0</v>
      </c>
      <c r="I12" s="16" t="n">
        <f aca="false">SUM(B12:H12)</f>
        <v>12</v>
      </c>
      <c r="J12" s="16" t="n">
        <f aca="false">NPV(WACC,B12:H12)</f>
        <v>10.6995884773663</v>
      </c>
    </row>
    <row r="13" customFormat="false" ht="15" hidden="false" customHeight="true" outlineLevel="0" collapsed="false">
      <c r="A13" s="13" t="s">
        <v>142</v>
      </c>
      <c r="B13" s="16" t="n">
        <f aca="false">sap_sub</f>
        <v>1.75</v>
      </c>
      <c r="C13" s="16" t="n">
        <f aca="false">sap_sub</f>
        <v>1.75</v>
      </c>
      <c r="D13" s="16" t="n">
        <f aca="false">sap_sub</f>
        <v>1.75</v>
      </c>
      <c r="E13" s="16" t="n">
        <f aca="false">sap_sub</f>
        <v>1.75</v>
      </c>
      <c r="F13" s="16" t="n">
        <f aca="false">sap_sub</f>
        <v>1.75</v>
      </c>
      <c r="G13" s="16" t="n">
        <f aca="false">sap_sub</f>
        <v>1.75</v>
      </c>
      <c r="H13" s="16" t="n">
        <f aca="false">sap_sub</f>
        <v>1.75</v>
      </c>
      <c r="I13" s="16" t="n">
        <f aca="false">SUM(B13:H13)</f>
        <v>12.25</v>
      </c>
      <c r="J13" s="16" t="n">
        <f aca="false">NPV(WACC,B13:H13)</f>
        <v>9.11114760364082</v>
      </c>
    </row>
    <row r="14" customFormat="false" ht="15" hidden="false" customHeight="true" outlineLevel="0" collapsed="false">
      <c r="A14" s="13" t="s">
        <v>143</v>
      </c>
      <c r="B14" s="16" t="n">
        <f aca="false">sap_sub*AMS_PCT*B8</f>
        <v>0</v>
      </c>
      <c r="C14" s="16" t="n">
        <f aca="false">sap_sub*AMS_PCT*C8</f>
        <v>0</v>
      </c>
      <c r="D14" s="16" t="n">
        <f aca="false">sap_sub*AMS_PCT*D8</f>
        <v>0.7875</v>
      </c>
      <c r="E14" s="16" t="n">
        <f aca="false">sap_sub*AMS_PCT*E8</f>
        <v>0.7875</v>
      </c>
      <c r="F14" s="16" t="n">
        <f aca="false">sap_sub*AMS_PCT*F8</f>
        <v>0.7875</v>
      </c>
      <c r="G14" s="16" t="n">
        <f aca="false">sap_sub*AMS_PCT*G8</f>
        <v>0.7875</v>
      </c>
      <c r="H14" s="16" t="n">
        <f aca="false">sap_sub*AMS_PCT*H8</f>
        <v>0.7875</v>
      </c>
      <c r="I14" s="16" t="n">
        <f aca="false">SUM(B14:H14)</f>
        <v>3.9375</v>
      </c>
      <c r="J14" s="16" t="n">
        <f aca="false">NPV(WACC,B14:H14)</f>
        <v>2.69569543398405</v>
      </c>
    </row>
    <row r="15" customFormat="false" ht="15" hidden="false" customHeight="true" outlineLevel="0" collapsed="false">
      <c r="A15" s="17" t="s">
        <v>144</v>
      </c>
      <c r="B15" s="18" t="n">
        <f aca="false">SUM(B12:B14)</f>
        <v>7.75</v>
      </c>
      <c r="C15" s="18" t="n">
        <f aca="false">SUM(C12:C14)</f>
        <v>7.75</v>
      </c>
      <c r="D15" s="18" t="n">
        <f aca="false">SUM(D12:D14)</f>
        <v>2.5375</v>
      </c>
      <c r="E15" s="18" t="n">
        <f aca="false">SUM(E12:E14)</f>
        <v>2.5375</v>
      </c>
      <c r="F15" s="18" t="n">
        <f aca="false">SUM(F12:F14)</f>
        <v>2.5375</v>
      </c>
      <c r="G15" s="18" t="n">
        <f aca="false">SUM(G12:G14)</f>
        <v>2.5375</v>
      </c>
      <c r="H15" s="18" t="n">
        <f aca="false">SUM(H12:H14)</f>
        <v>2.5375</v>
      </c>
      <c r="I15" s="18" t="n">
        <f aca="false">SUM(B15:H15)</f>
        <v>28.1875</v>
      </c>
      <c r="J15" s="18" t="n">
        <f aca="false">NPV(WACC,B15:H15)</f>
        <v>22.5064315149911</v>
      </c>
    </row>
    <row r="16" customFormat="false" ht="15" hidden="false" customHeight="true" outlineLevel="0" collapsed="false">
      <c r="A16" s="11" t="s">
        <v>145</v>
      </c>
      <c r="B16" s="12"/>
      <c r="C16" s="12"/>
      <c r="D16" s="12"/>
      <c r="E16" s="12"/>
      <c r="F16" s="12"/>
      <c r="G16" s="12"/>
      <c r="H16" s="12"/>
      <c r="I16" s="12"/>
      <c r="J16" s="12"/>
    </row>
    <row r="17" customFormat="false" ht="15" hidden="false" customHeight="true" outlineLevel="0" collapsed="false">
      <c r="A17" s="13" t="s">
        <v>141</v>
      </c>
      <c r="B17" s="16" t="n">
        <f aca="false">sap_impl*impl_ratio*B7</f>
        <v>5.4</v>
      </c>
      <c r="C17" s="16" t="n">
        <f aca="false">sap_impl*impl_ratio*C7</f>
        <v>4.8</v>
      </c>
      <c r="D17" s="16" t="n">
        <f aca="false">sap_impl*impl_ratio*D7</f>
        <v>1.8</v>
      </c>
      <c r="E17" s="16" t="n">
        <f aca="false">sap_impl*impl_ratio*E7</f>
        <v>0</v>
      </c>
      <c r="F17" s="16" t="n">
        <f aca="false">sap_impl*impl_ratio*F7</f>
        <v>0</v>
      </c>
      <c r="G17" s="16" t="n">
        <f aca="false">sap_impl*impl_ratio*G7</f>
        <v>0</v>
      </c>
      <c r="H17" s="16" t="n">
        <f aca="false">sap_impl*impl_ratio*H7</f>
        <v>0</v>
      </c>
      <c r="I17" s="16" t="n">
        <f aca="false">SUM(B17:H17)</f>
        <v>12</v>
      </c>
      <c r="J17" s="16" t="n">
        <f aca="false">NPV(WACC,B17:H17)</f>
        <v>10.5441243712849</v>
      </c>
    </row>
    <row r="18" customFormat="false" ht="15" hidden="false" customHeight="true" outlineLevel="0" collapsed="false">
      <c r="A18" s="13" t="s">
        <v>146</v>
      </c>
      <c r="B18" s="16" t="n">
        <f aca="false">hosting*0.5</f>
        <v>0.225</v>
      </c>
      <c r="C18" s="16" t="n">
        <f aca="false">hosting</f>
        <v>0.45</v>
      </c>
      <c r="D18" s="16" t="n">
        <f aca="false">hosting</f>
        <v>0.45</v>
      </c>
      <c r="E18" s="16" t="n">
        <f aca="false">hosting</f>
        <v>0.45</v>
      </c>
      <c r="F18" s="16" t="n">
        <f aca="false">hosting</f>
        <v>0.45</v>
      </c>
      <c r="G18" s="16" t="n">
        <f aca="false">hosting</f>
        <v>0.45</v>
      </c>
      <c r="H18" s="16" t="n">
        <f aca="false">hosting</f>
        <v>0.45</v>
      </c>
      <c r="I18" s="16" t="n">
        <f aca="false">SUM(B18:H18)</f>
        <v>2.925</v>
      </c>
      <c r="J18" s="16" t="n">
        <f aca="false">NPV(WACC,B18:H18)</f>
        <v>2.13453319331716</v>
      </c>
    </row>
    <row r="19" customFormat="false" ht="15" hidden="false" customHeight="true" outlineLevel="0" collapsed="false">
      <c r="A19" s="13" t="s">
        <v>147</v>
      </c>
      <c r="B19" s="16" t="n">
        <f aca="false">platform_fte*FTE_ENG</f>
        <v>1.08</v>
      </c>
      <c r="C19" s="16" t="n">
        <f aca="false">platform_fte*FTE_ENG</f>
        <v>1.08</v>
      </c>
      <c r="D19" s="16" t="n">
        <f aca="false">platform_fte*FTE_ENG</f>
        <v>1.08</v>
      </c>
      <c r="E19" s="16" t="n">
        <f aca="false">platform_fte*FTE_ENG</f>
        <v>1.08</v>
      </c>
      <c r="F19" s="16" t="n">
        <f aca="false">platform_fte*FTE_ENG</f>
        <v>1.08</v>
      </c>
      <c r="G19" s="16" t="n">
        <f aca="false">platform_fte*FTE_ENG</f>
        <v>1.08</v>
      </c>
      <c r="H19" s="16" t="n">
        <f aca="false">platform_fte*FTE_ENG</f>
        <v>1.08</v>
      </c>
      <c r="I19" s="16" t="n">
        <f aca="false">SUM(B19:H19)</f>
        <v>7.56</v>
      </c>
      <c r="J19" s="16" t="n">
        <f aca="false">NPV(WACC,B19:H19)</f>
        <v>5.62287966396119</v>
      </c>
    </row>
    <row r="20" customFormat="false" ht="15" hidden="false" customHeight="true" outlineLevel="0" collapsed="false">
      <c r="A20" s="13" t="s">
        <v>148</v>
      </c>
      <c r="B20" s="16" t="n">
        <v>0</v>
      </c>
      <c r="C20" s="16" t="n">
        <v>0</v>
      </c>
      <c r="D20" s="16" t="n">
        <f aca="false">soc1</f>
        <v>0.25</v>
      </c>
      <c r="E20" s="16" t="n">
        <f aca="false">soc1</f>
        <v>0.25</v>
      </c>
      <c r="F20" s="16" t="n">
        <f aca="false">soc1</f>
        <v>0.25</v>
      </c>
      <c r="G20" s="16" t="n">
        <f aca="false">soc1</f>
        <v>0.25</v>
      </c>
      <c r="H20" s="16" t="n">
        <f aca="false">soc1</f>
        <v>0.25</v>
      </c>
      <c r="I20" s="16" t="n">
        <f aca="false">SUM(B20:H20)</f>
        <v>1.25</v>
      </c>
      <c r="J20" s="16" t="n">
        <f aca="false">NPV(WACC,B20:H20)</f>
        <v>0.855776328248904</v>
      </c>
    </row>
    <row r="21" customFormat="false" ht="15" hidden="false" customHeight="true" outlineLevel="0" collapsed="false">
      <c r="A21" s="13" t="s">
        <v>149</v>
      </c>
      <c r="B21" s="16" t="n">
        <f aca="false">actions_day*365*B9*usd_per_action/1000000</f>
        <v>0</v>
      </c>
      <c r="C21" s="16" t="n">
        <f aca="false">actions_day*365*C9*usd_per_action/1000000</f>
        <v>0.07652225</v>
      </c>
      <c r="D21" s="16" t="n">
        <f aca="false">actions_day*365*D9*usd_per_action/1000000</f>
        <v>0.18583975</v>
      </c>
      <c r="E21" s="16" t="n">
        <f aca="false">actions_day*365*E9*usd_per_action/1000000</f>
        <v>0.218635</v>
      </c>
      <c r="F21" s="16" t="n">
        <f aca="false">actions_day*365*F9*usd_per_action/1000000</f>
        <v>0.218635</v>
      </c>
      <c r="G21" s="16" t="n">
        <f aca="false">actions_day*365*G9*usd_per_action/1000000</f>
        <v>0.218635</v>
      </c>
      <c r="H21" s="16" t="n">
        <f aca="false">actions_day*365*H9*usd_per_action/1000000</f>
        <v>0.218635</v>
      </c>
      <c r="I21" s="16" t="n">
        <f aca="false">SUM(B21:H21)</f>
        <v>1.136902</v>
      </c>
      <c r="J21" s="16" t="n">
        <f aca="false">NPV(WACC,B21:H21)</f>
        <v>0.787982198846318</v>
      </c>
    </row>
    <row r="22" customFormat="false" ht="15" hidden="false" customHeight="true" outlineLevel="0" collapsed="false">
      <c r="A22" s="13" t="s">
        <v>150</v>
      </c>
      <c r="B22" s="16" t="n">
        <f aca="false">actions_day*365*B9*exc_per_1000/1000*EXC_MIN/60/FTE_HOURS*FTE_FIN</f>
        <v>0</v>
      </c>
      <c r="C22" s="16" t="n">
        <f aca="false">actions_day*365*C9*exc_per_1000/1000*EXC_MIN/60/FTE_HOURS*FTE_FIN</f>
        <v>0.152083333333333</v>
      </c>
      <c r="D22" s="16" t="n">
        <f aca="false">actions_day*365*D9*exc_per_1000/1000*EXC_MIN/60/FTE_HOURS*FTE_FIN</f>
        <v>0.369345238095238</v>
      </c>
      <c r="E22" s="16" t="n">
        <f aca="false">actions_day*365*E9*exc_per_1000/1000*EXC_MIN/60/FTE_HOURS*FTE_FIN</f>
        <v>0.43452380952381</v>
      </c>
      <c r="F22" s="16" t="n">
        <f aca="false">actions_day*365*F9*exc_per_1000/1000*EXC_MIN/60/FTE_HOURS*FTE_FIN</f>
        <v>0.43452380952381</v>
      </c>
      <c r="G22" s="16" t="n">
        <f aca="false">actions_day*365*G9*exc_per_1000/1000*EXC_MIN/60/FTE_HOURS*FTE_FIN</f>
        <v>0.43452380952381</v>
      </c>
      <c r="H22" s="16" t="n">
        <f aca="false">actions_day*365*H9*exc_per_1000/1000*EXC_MIN/60/FTE_HOURS*FTE_FIN</f>
        <v>0.43452380952381</v>
      </c>
      <c r="I22" s="16" t="n">
        <f aca="false">SUM(B22:H22)</f>
        <v>2.25952380952381</v>
      </c>
      <c r="J22" s="16" t="n">
        <f aca="false">NPV(WACC,B22:H22)</f>
        <v>1.56606685516797</v>
      </c>
    </row>
    <row r="23" customFormat="false" ht="15" hidden="false" customHeight="true" outlineLevel="0" collapsed="false">
      <c r="A23" s="17" t="s">
        <v>151</v>
      </c>
      <c r="B23" s="18" t="n">
        <f aca="false">SUM(B17:B22)</f>
        <v>6.705</v>
      </c>
      <c r="C23" s="18" t="n">
        <f aca="false">SUM(C17:C22)</f>
        <v>6.55860558333333</v>
      </c>
      <c r="D23" s="18" t="n">
        <f aca="false">SUM(D17:D22)</f>
        <v>4.13518498809524</v>
      </c>
      <c r="E23" s="18" t="n">
        <f aca="false">SUM(E17:E22)</f>
        <v>2.43315880952381</v>
      </c>
      <c r="F23" s="18" t="n">
        <f aca="false">SUM(F17:F22)</f>
        <v>2.43315880952381</v>
      </c>
      <c r="G23" s="18" t="n">
        <f aca="false">SUM(G17:G22)</f>
        <v>2.43315880952381</v>
      </c>
      <c r="H23" s="18" t="n">
        <f aca="false">SUM(H17:H22)</f>
        <v>2.43315880952381</v>
      </c>
      <c r="I23" s="18" t="n">
        <f aca="false">SUM(B23:H23)</f>
        <v>27.1314258095238</v>
      </c>
      <c r="J23" s="18" t="n">
        <f aca="false">NPV(WACC,B23:H23)</f>
        <v>21.5113626108264</v>
      </c>
    </row>
    <row r="24" customFormat="false" ht="15" hidden="false" customHeight="true" outlineLevel="0" collapsed="false">
      <c r="A24" s="11" t="s">
        <v>152</v>
      </c>
      <c r="B24" s="12"/>
      <c r="C24" s="12"/>
      <c r="D24" s="12"/>
      <c r="E24" s="12"/>
      <c r="F24" s="12"/>
      <c r="G24" s="12"/>
      <c r="H24" s="12"/>
      <c r="I24" s="12"/>
      <c r="J24" s="12"/>
    </row>
    <row r="25" customFormat="false" ht="15" hidden="false" customHeight="true" outlineLevel="0" collapsed="false">
      <c r="A25" s="13" t="s">
        <v>153</v>
      </c>
      <c r="B25" s="16" t="n">
        <f aca="false">((partners*EDI_DOCS*edi_doc_migrated*(VAN_DOC-PEPPOL_DOC)+edi_effort_cut*partners*(CHURN*ONBOARD+MAPS*MAP_COST))/1000000+MU*RHO*systems*(systems-1)/2*HB*RATE/1000000-MU*(systems*HA+RHO*systems*(systems-1)/2*DELTA*HB)*RATE/1000000)*B9</f>
        <v>0</v>
      </c>
      <c r="C25" s="16" t="n">
        <f aca="false">((partners*EDI_DOCS*edi_doc_migrated*(VAN_DOC-PEPPOL_DOC)+edi_effort_cut*partners*(CHURN*ONBOARD+MAPS*MAP_COST))/1000000+MU*RHO*systems*(systems-1)/2*HB*RATE/1000000-MU*(systems*HA+RHO*systems*(systems-1)/2*DELTA*HB)*RATE/1000000)*C9</f>
        <v>0.187635</v>
      </c>
      <c r="D25" s="16" t="n">
        <f aca="false">((partners*EDI_DOCS*edi_doc_migrated*(VAN_DOC-PEPPOL_DOC)+edi_effort_cut*partners*(CHURN*ONBOARD+MAPS*MAP_COST))/1000000+MU*RHO*systems*(systems-1)/2*HB*RATE/1000000-MU*(systems*HA+RHO*systems*(systems-1)/2*DELTA*HB)*RATE/1000000)*D9</f>
        <v>0.455685</v>
      </c>
      <c r="E25" s="16" t="n">
        <f aca="false">((partners*EDI_DOCS*edi_doc_migrated*(VAN_DOC-PEPPOL_DOC)+edi_effort_cut*partners*(CHURN*ONBOARD+MAPS*MAP_COST))/1000000+MU*RHO*systems*(systems-1)/2*HB*RATE/1000000-MU*(systems*HA+RHO*systems*(systems-1)/2*DELTA*HB)*RATE/1000000)*E9</f>
        <v>0.5361</v>
      </c>
      <c r="F25" s="16" t="n">
        <f aca="false">((partners*EDI_DOCS*edi_doc_migrated*(VAN_DOC-PEPPOL_DOC)+edi_effort_cut*partners*(CHURN*ONBOARD+MAPS*MAP_COST))/1000000+MU*RHO*systems*(systems-1)/2*HB*RATE/1000000-MU*(systems*HA+RHO*systems*(systems-1)/2*DELTA*HB)*RATE/1000000)*F9</f>
        <v>0.5361</v>
      </c>
      <c r="G25" s="16" t="n">
        <f aca="false">((partners*EDI_DOCS*edi_doc_migrated*(VAN_DOC-PEPPOL_DOC)+edi_effort_cut*partners*(CHURN*ONBOARD+MAPS*MAP_COST))/1000000+MU*RHO*systems*(systems-1)/2*HB*RATE/1000000-MU*(systems*HA+RHO*systems*(systems-1)/2*DELTA*HB)*RATE/1000000)*G9</f>
        <v>0.5361</v>
      </c>
      <c r="H25" s="16" t="n">
        <f aca="false">((partners*EDI_DOCS*edi_doc_migrated*(VAN_DOC-PEPPOL_DOC)+edi_effort_cut*partners*(CHURN*ONBOARD+MAPS*MAP_COST))/1000000+MU*RHO*systems*(systems-1)/2*HB*RATE/1000000-MU*(systems*HA+RHO*systems*(systems-1)/2*DELTA*HB)*RATE/1000000)*H9</f>
        <v>0.5361</v>
      </c>
      <c r="I25" s="16" t="n">
        <f aca="false">SUM(B25:H25)</f>
        <v>2.78772</v>
      </c>
      <c r="J25" s="16" t="n">
        <f aca="false">NPV(WACC,B25:H25)</f>
        <v>1.93215750818264</v>
      </c>
    </row>
    <row r="26" customFormat="false" ht="15" hidden="false" customHeight="true" outlineLevel="0" collapsed="false">
      <c r="A26" s="13" t="s">
        <v>154</v>
      </c>
      <c r="B26" s="16" t="n">
        <f aca="false">(audit_fee_cut*audit_fee_pct*revenue+sox_cut*sox_internal)*B9*B10</f>
        <v>0</v>
      </c>
      <c r="C26" s="16" t="n">
        <f aca="false">(audit_fee_cut*audit_fee_pct*revenue+sox_cut*sox_internal)*C9*C10</f>
        <v>0.08316</v>
      </c>
      <c r="D26" s="16" t="n">
        <f aca="false">(audit_fee_cut*audit_fee_pct*revenue+sox_cut*sox_internal)*D9*D10</f>
        <v>0.35343</v>
      </c>
      <c r="E26" s="16" t="n">
        <f aca="false">(audit_fee_cut*audit_fee_pct*revenue+sox_cut*sox_internal)*E9*E10</f>
        <v>0.5346</v>
      </c>
      <c r="F26" s="16" t="n">
        <f aca="false">(audit_fee_cut*audit_fee_pct*revenue+sox_cut*sox_internal)*F9*F10</f>
        <v>0.594</v>
      </c>
      <c r="G26" s="16" t="n">
        <f aca="false">(audit_fee_cut*audit_fee_pct*revenue+sox_cut*sox_internal)*G9*G10</f>
        <v>0.594</v>
      </c>
      <c r="H26" s="16" t="n">
        <f aca="false">(audit_fee_cut*audit_fee_pct*revenue+sox_cut*sox_internal)*H9*H10</f>
        <v>0.594</v>
      </c>
      <c r="I26" s="16" t="n">
        <f aca="false">SUM(B26:H26)</f>
        <v>2.75319</v>
      </c>
      <c r="J26" s="16" t="n">
        <f aca="false">NPV(WACC,B26:H26)</f>
        <v>1.86998785673736</v>
      </c>
    </row>
    <row r="27" customFormat="false" ht="15" hidden="false" customHeight="true" outlineLevel="0" collapsed="false">
      <c r="A27" s="13" t="s">
        <v>155</v>
      </c>
      <c r="B27" s="16" t="n">
        <f aca="false">MAX(0,aeos_automation-sap_automation)*FIN_FTE_PER_B*revenue/1000*FTE_FIN*B9*B10</f>
        <v>0</v>
      </c>
      <c r="C27" s="16" t="n">
        <f aca="false">MAX(0,aeos_automation-sap_automation)*FIN_FTE_PER_B*revenue/1000*FTE_FIN*C9*C10</f>
        <v>0.254184</v>
      </c>
      <c r="D27" s="16" t="n">
        <f aca="false">MAX(0,aeos_automation-sap_automation)*FIN_FTE_PER_B*revenue/1000*FTE_FIN*D9*D10</f>
        <v>1.080282</v>
      </c>
      <c r="E27" s="16" t="n">
        <f aca="false">MAX(0,aeos_automation-sap_automation)*FIN_FTE_PER_B*revenue/1000*FTE_FIN*E9*E10</f>
        <v>1.63404</v>
      </c>
      <c r="F27" s="16" t="n">
        <f aca="false">MAX(0,aeos_automation-sap_automation)*FIN_FTE_PER_B*revenue/1000*FTE_FIN*F9*F10</f>
        <v>1.8156</v>
      </c>
      <c r="G27" s="16" t="n">
        <f aca="false">MAX(0,aeos_automation-sap_automation)*FIN_FTE_PER_B*revenue/1000*FTE_FIN*G9*G10</f>
        <v>1.8156</v>
      </c>
      <c r="H27" s="16" t="n">
        <f aca="false">MAX(0,aeos_automation-sap_automation)*FIN_FTE_PER_B*revenue/1000*FTE_FIN*H9*H10</f>
        <v>1.8156</v>
      </c>
      <c r="I27" s="16" t="n">
        <f aca="false">SUM(B27:H27)</f>
        <v>8.415306</v>
      </c>
      <c r="J27" s="16" t="n">
        <f aca="false">NPV(WACC,B27:H27)</f>
        <v>5.71574066109823</v>
      </c>
    </row>
    <row r="28" customFormat="false" ht="15" hidden="false" customHeight="true" outlineLevel="0" collapsed="false">
      <c r="A28" s="17" t="s">
        <v>156</v>
      </c>
      <c r="B28" s="18" t="n">
        <f aca="false">SUM(B25:B27)</f>
        <v>0</v>
      </c>
      <c r="C28" s="18" t="n">
        <f aca="false">SUM(C25:C27)</f>
        <v>0.524979</v>
      </c>
      <c r="D28" s="18" t="n">
        <f aca="false">SUM(D25:D27)</f>
        <v>1.889397</v>
      </c>
      <c r="E28" s="18" t="n">
        <f aca="false">SUM(E25:E27)</f>
        <v>2.70474</v>
      </c>
      <c r="F28" s="18" t="n">
        <f aca="false">SUM(F25:F27)</f>
        <v>2.9457</v>
      </c>
      <c r="G28" s="18" t="n">
        <f aca="false">SUM(G25:G27)</f>
        <v>2.9457</v>
      </c>
      <c r="H28" s="18" t="n">
        <f aca="false">SUM(H25:H27)</f>
        <v>2.9457</v>
      </c>
      <c r="I28" s="18" t="n">
        <f aca="false">SUM(B28:H28)</f>
        <v>13.956216</v>
      </c>
      <c r="J28" s="18" t="n">
        <f aca="false">NPV(WACC,B28:H28)</f>
        <v>9.51788602601823</v>
      </c>
    </row>
    <row r="29" customFormat="false" ht="15" hidden="false" customHeight="true" outlineLevel="0" collapsed="false">
      <c r="A29" s="11" t="s">
        <v>157</v>
      </c>
      <c r="B29" s="12"/>
      <c r="C29" s="12"/>
      <c r="D29" s="12"/>
      <c r="E29" s="12"/>
      <c r="F29" s="12"/>
      <c r="G29" s="12"/>
      <c r="H29" s="12"/>
      <c r="I29" s="12"/>
      <c r="J29" s="12"/>
    </row>
    <row r="30" customFormat="false" ht="15" hidden="false" customHeight="true" outlineLevel="0" collapsed="false">
      <c r="A30" s="13" t="s">
        <v>158</v>
      </c>
      <c r="B30" s="16" t="n">
        <f aca="false">(dso_days*revenue/365*WACC+inventory_cut*inventory_pct*revenue*CARRY)*B9*B10</f>
        <v>0</v>
      </c>
      <c r="C30" s="16" t="n">
        <f aca="false">(dso_days*revenue/365*WACC+inventory_cut*inventory_pct*revenue*CARRY)*C9*C10</f>
        <v>0.167654794520548</v>
      </c>
      <c r="D30" s="16" t="n">
        <f aca="false">(dso_days*revenue/365*WACC+inventory_cut*inventory_pct*revenue*CARRY)*D9*D10</f>
        <v>0.712532876712329</v>
      </c>
      <c r="E30" s="16" t="n">
        <f aca="false">(dso_days*revenue/365*WACC+inventory_cut*inventory_pct*revenue*CARRY)*E9*E10</f>
        <v>1.07778082191781</v>
      </c>
      <c r="F30" s="16" t="n">
        <f aca="false">(dso_days*revenue/365*WACC+inventory_cut*inventory_pct*revenue*CARRY)*F9*F10</f>
        <v>1.19753424657534</v>
      </c>
      <c r="G30" s="16" t="n">
        <f aca="false">(dso_days*revenue/365*WACC+inventory_cut*inventory_pct*revenue*CARRY)*G9*G10</f>
        <v>1.19753424657534</v>
      </c>
      <c r="H30" s="16" t="n">
        <f aca="false">(dso_days*revenue/365*WACC+inventory_cut*inventory_pct*revenue*CARRY)*H9*H10</f>
        <v>1.19753424657534</v>
      </c>
      <c r="I30" s="16" t="n">
        <f aca="false">SUM(B30:H30)</f>
        <v>5.55057123287671</v>
      </c>
      <c r="J30" s="16" t="n">
        <f aca="false">NPV(WACC,B30:H30)</f>
        <v>3.76999073926433</v>
      </c>
    </row>
    <row r="31" customFormat="false" ht="15" hidden="false" customHeight="true" outlineLevel="0" collapsed="false">
      <c r="A31" s="13" t="s">
        <v>159</v>
      </c>
      <c r="B31" s="16" t="n">
        <f aca="false">premium_freight_cut*PREMIUM*freight_pct*revenue*B9*B10</f>
        <v>0</v>
      </c>
      <c r="C31" s="16" t="n">
        <f aca="false">premium_freight_cut*PREMIUM*freight_pct*revenue*C9*C10</f>
        <v>0.0756</v>
      </c>
      <c r="D31" s="16" t="n">
        <f aca="false">premium_freight_cut*PREMIUM*freight_pct*revenue*D9*D10</f>
        <v>0.3213</v>
      </c>
      <c r="E31" s="16" t="n">
        <f aca="false">premium_freight_cut*PREMIUM*freight_pct*revenue*E9*E10</f>
        <v>0.486</v>
      </c>
      <c r="F31" s="16" t="n">
        <f aca="false">premium_freight_cut*PREMIUM*freight_pct*revenue*F9*F10</f>
        <v>0.54</v>
      </c>
      <c r="G31" s="16" t="n">
        <f aca="false">premium_freight_cut*PREMIUM*freight_pct*revenue*G9*G10</f>
        <v>0.54</v>
      </c>
      <c r="H31" s="16" t="n">
        <f aca="false">premium_freight_cut*PREMIUM*freight_pct*revenue*H9*H10</f>
        <v>0.54</v>
      </c>
      <c r="I31" s="16" t="n">
        <f aca="false">SUM(B31:H31)</f>
        <v>2.5029</v>
      </c>
      <c r="J31" s="16" t="n">
        <f aca="false">NPV(WACC,B31:H31)</f>
        <v>1.69998896067033</v>
      </c>
    </row>
    <row r="32" customFormat="false" ht="15" hidden="false" customHeight="true" outlineLevel="0" collapsed="false">
      <c r="A32" s="13" t="s">
        <v>160</v>
      </c>
      <c r="B32" s="16" t="n">
        <f aca="false">discount_capture_pp*PURCH*revenue*DISC_OFF*DISC_RATE*B9*B10</f>
        <v>0</v>
      </c>
      <c r="C32" s="16" t="n">
        <f aca="false">discount_capture_pp*PURCH*revenue*DISC_OFF*DISC_RATE*C9*C10</f>
        <v>0.021</v>
      </c>
      <c r="D32" s="16" t="n">
        <f aca="false">discount_capture_pp*PURCH*revenue*DISC_OFF*DISC_RATE*D9*D10</f>
        <v>0.08925</v>
      </c>
      <c r="E32" s="16" t="n">
        <f aca="false">discount_capture_pp*PURCH*revenue*DISC_OFF*DISC_RATE*E9*E10</f>
        <v>0.135</v>
      </c>
      <c r="F32" s="16" t="n">
        <f aca="false">discount_capture_pp*PURCH*revenue*DISC_OFF*DISC_RATE*F9*F10</f>
        <v>0.15</v>
      </c>
      <c r="G32" s="16" t="n">
        <f aca="false">discount_capture_pp*PURCH*revenue*DISC_OFF*DISC_RATE*G9*G10</f>
        <v>0.15</v>
      </c>
      <c r="H32" s="16" t="n">
        <f aca="false">discount_capture_pp*PURCH*revenue*DISC_OFF*DISC_RATE*H9*H10</f>
        <v>0.15</v>
      </c>
      <c r="I32" s="16" t="n">
        <f aca="false">SUM(B32:H32)</f>
        <v>0.69525</v>
      </c>
      <c r="J32" s="16" t="n">
        <f aca="false">NPV(WACC,B32:H32)</f>
        <v>0.472219155741757</v>
      </c>
    </row>
    <row r="33" customFormat="false" ht="15" hidden="false" customHeight="true" outlineLevel="0" collapsed="false">
      <c r="A33" s="17" t="s">
        <v>161</v>
      </c>
      <c r="B33" s="18" t="n">
        <f aca="false">SUM(B30:B32)</f>
        <v>0</v>
      </c>
      <c r="C33" s="18" t="n">
        <f aca="false">SUM(C30:C32)</f>
        <v>0.264254794520548</v>
      </c>
      <c r="D33" s="18" t="n">
        <f aca="false">SUM(D30:D32)</f>
        <v>1.12308287671233</v>
      </c>
      <c r="E33" s="18" t="n">
        <f aca="false">SUM(E30:E32)</f>
        <v>1.69878082191781</v>
      </c>
      <c r="F33" s="18" t="n">
        <f aca="false">SUM(F30:F32)</f>
        <v>1.88753424657534</v>
      </c>
      <c r="G33" s="18" t="n">
        <f aca="false">SUM(G30:G32)</f>
        <v>1.88753424657534</v>
      </c>
      <c r="H33" s="18" t="n">
        <f aca="false">SUM(H30:H32)</f>
        <v>1.88753424657534</v>
      </c>
      <c r="I33" s="18" t="n">
        <f aca="false">SUM(B33:H33)</f>
        <v>8.74872123287671</v>
      </c>
      <c r="J33" s="18" t="n">
        <f aca="false">NPV(WACC,B33:H33)</f>
        <v>5.94219885567642</v>
      </c>
    </row>
    <row r="34" customFormat="false" ht="15" hidden="false" customHeight="true" outlineLevel="0" collapsed="false">
      <c r="A34" s="11" t="s">
        <v>162</v>
      </c>
      <c r="B34" s="12"/>
      <c r="C34" s="12"/>
      <c r="D34" s="12"/>
      <c r="E34" s="12"/>
      <c r="F34" s="12"/>
      <c r="G34" s="12"/>
      <c r="H34" s="12"/>
      <c r="I34" s="12"/>
      <c r="J34" s="12"/>
    </row>
    <row r="35" customFormat="false" ht="15" hidden="false" customHeight="true" outlineLevel="0" collapsed="false">
      <c r="A35" s="17" t="s">
        <v>163</v>
      </c>
      <c r="B35" s="18" t="n">
        <f aca="false">B15-B23</f>
        <v>1.045</v>
      </c>
      <c r="C35" s="18" t="n">
        <f aca="false">C15-C23</f>
        <v>1.19139441666667</v>
      </c>
      <c r="D35" s="18" t="n">
        <f aca="false">D15-D23</f>
        <v>-1.59768498809524</v>
      </c>
      <c r="E35" s="18" t="n">
        <f aca="false">E15-E23</f>
        <v>0.104341190476191</v>
      </c>
      <c r="F35" s="18" t="n">
        <f aca="false">F15-F23</f>
        <v>0.104341190476191</v>
      </c>
      <c r="G35" s="18" t="n">
        <f aca="false">G15-G23</f>
        <v>0.104341190476191</v>
      </c>
      <c r="H35" s="18" t="n">
        <f aca="false">H15-H23</f>
        <v>0.104341190476191</v>
      </c>
      <c r="I35" s="18" t="n">
        <f aca="false">SUM(B35:H35)</f>
        <v>1.05607419047619</v>
      </c>
      <c r="J35" s="18" t="n">
        <f aca="false">NPV(WACC,B35:H35)</f>
        <v>0.995068904164705</v>
      </c>
    </row>
    <row r="36" customFormat="false" ht="15" hidden="false" customHeight="true" outlineLevel="0" collapsed="false">
      <c r="A36" s="17" t="s">
        <v>164</v>
      </c>
      <c r="B36" s="18" t="n">
        <f aca="false">B35+B28</f>
        <v>1.045</v>
      </c>
      <c r="C36" s="18" t="n">
        <f aca="false">C35+C28</f>
        <v>1.71637341666667</v>
      </c>
      <c r="D36" s="18" t="n">
        <f aca="false">D35+D28</f>
        <v>0.291712011904762</v>
      </c>
      <c r="E36" s="18" t="n">
        <f aca="false">E35+E28</f>
        <v>2.80908119047619</v>
      </c>
      <c r="F36" s="18" t="n">
        <f aca="false">F35+F28</f>
        <v>3.05004119047619</v>
      </c>
      <c r="G36" s="18" t="n">
        <f aca="false">G35+G28</f>
        <v>3.05004119047619</v>
      </c>
      <c r="H36" s="18" t="n">
        <f aca="false">H35+H28</f>
        <v>3.05004119047619</v>
      </c>
      <c r="I36" s="18" t="n">
        <f aca="false">SUM(B36:H36)</f>
        <v>15.0122901904762</v>
      </c>
      <c r="J36" s="18" t="n">
        <f aca="false">NPV(WACC,B36:H36)</f>
        <v>10.5129549301829</v>
      </c>
    </row>
    <row r="37" customFormat="false" ht="15" hidden="false" customHeight="true" outlineLevel="0" collapsed="false">
      <c r="A37" s="17" t="s">
        <v>165</v>
      </c>
      <c r="B37" s="18" t="n">
        <f aca="false">B36+B33</f>
        <v>1.045</v>
      </c>
      <c r="C37" s="18" t="n">
        <f aca="false">C36+C33</f>
        <v>1.98062821118721</v>
      </c>
      <c r="D37" s="18" t="n">
        <f aca="false">D36+D33</f>
        <v>1.41479488861709</v>
      </c>
      <c r="E37" s="18" t="n">
        <f aca="false">E36+E33</f>
        <v>4.507862012394</v>
      </c>
      <c r="F37" s="18" t="n">
        <f aca="false">F36+F33</f>
        <v>4.93757543705153</v>
      </c>
      <c r="G37" s="18" t="n">
        <f aca="false">G36+G33</f>
        <v>4.93757543705153</v>
      </c>
      <c r="H37" s="18" t="n">
        <f aca="false">H36+H33</f>
        <v>4.93757543705153</v>
      </c>
      <c r="I37" s="18" t="n">
        <f aca="false">SUM(B37:H37)</f>
        <v>23.7610114233529</v>
      </c>
      <c r="J37" s="18" t="n">
        <f aca="false">NPV(WACC,B37:H37)</f>
        <v>16.4551537858594</v>
      </c>
    </row>
    <row r="38" customFormat="false" ht="15" hidden="false" customHeight="true" outlineLevel="0" collapsed="false">
      <c r="A38" s="13" t="s">
        <v>166</v>
      </c>
      <c r="B38" s="16" t="n">
        <f aca="false">B36</f>
        <v>1.045</v>
      </c>
      <c r="C38" s="16" t="n">
        <f aca="false">B38+C36</f>
        <v>2.76137341666667</v>
      </c>
      <c r="D38" s="16" t="n">
        <f aca="false">C38+D36</f>
        <v>3.05308542857143</v>
      </c>
      <c r="E38" s="16" t="n">
        <f aca="false">D38+E36</f>
        <v>5.86216661904762</v>
      </c>
      <c r="F38" s="16" t="n">
        <f aca="false">E38+F36</f>
        <v>8.91220780952381</v>
      </c>
      <c r="G38" s="16" t="n">
        <f aca="false">F38+G36</f>
        <v>11.962249</v>
      </c>
      <c r="H38" s="16" t="n">
        <f aca="false">G38+H36</f>
        <v>15.0122901904762</v>
      </c>
      <c r="I38" s="15"/>
      <c r="J38" s="15"/>
    </row>
  </sheetData>
  <conditionalFormatting sqref="B35:J38">
    <cfRule type="expression" priority="2" aboveAverage="0" equalAverage="0" bottom="0" percent="0" rank="0" text="" dxfId="0">
      <formula>B35&lt;0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1" min="1" style="1" width="16"/>
  </cols>
  <sheetData>
    <row r="1" customFormat="false" ht="17.25" hidden="false" customHeight="true" outlineLevel="0" collapsed="false">
      <c r="A1" s="2" t="s">
        <v>167</v>
      </c>
    </row>
    <row r="3" customFormat="false" ht="15" hidden="false" customHeight="true" outlineLevel="0" collapsed="false">
      <c r="A3" s="7" t="s">
        <v>168</v>
      </c>
      <c r="B3" s="7" t="s">
        <v>20</v>
      </c>
      <c r="C3" s="7" t="s">
        <v>169</v>
      </c>
      <c r="D3" s="7" t="s">
        <v>170</v>
      </c>
      <c r="E3" s="7" t="s">
        <v>171</v>
      </c>
      <c r="F3" s="7" t="s">
        <v>172</v>
      </c>
      <c r="G3" s="7" t="s">
        <v>173</v>
      </c>
      <c r="H3" s="7" t="s">
        <v>174</v>
      </c>
      <c r="I3" s="7" t="s">
        <v>175</v>
      </c>
      <c r="J3" s="7" t="s">
        <v>176</v>
      </c>
      <c r="K3" s="7" t="s">
        <v>177</v>
      </c>
    </row>
    <row r="4" customFormat="false" ht="15" hidden="false" customHeight="true" outlineLevel="0" collapsed="false">
      <c r="A4" s="4" t="s">
        <v>18</v>
      </c>
      <c r="B4" s="4" t="s">
        <v>57</v>
      </c>
      <c r="C4" s="19" t="n">
        <v>28.188</v>
      </c>
      <c r="D4" s="19" t="n">
        <v>32.956</v>
      </c>
      <c r="E4" s="19" t="n">
        <v>2.538</v>
      </c>
      <c r="F4" s="19" t="n">
        <v>3.323</v>
      </c>
      <c r="G4" s="19" t="n">
        <v>1.118</v>
      </c>
      <c r="H4" s="19" t="n">
        <v>0</v>
      </c>
      <c r="I4" s="19" t="n">
        <v>-3.265</v>
      </c>
      <c r="J4" s="19" t="n">
        <v>0.426</v>
      </c>
      <c r="K4" s="19" t="n">
        <v>0.426</v>
      </c>
    </row>
    <row r="5" customFormat="false" ht="15" hidden="false" customHeight="true" outlineLevel="0" collapsed="false">
      <c r="A5" s="4" t="s">
        <v>18</v>
      </c>
      <c r="B5" s="4" t="s">
        <v>21</v>
      </c>
      <c r="C5" s="19" t="n">
        <v>28.188</v>
      </c>
      <c r="D5" s="19" t="n">
        <v>27.131</v>
      </c>
      <c r="E5" s="19" t="n">
        <v>2.538</v>
      </c>
      <c r="F5" s="19" t="n">
        <v>2.433</v>
      </c>
      <c r="G5" s="19" t="n">
        <v>2.946</v>
      </c>
      <c r="H5" s="19" t="n">
        <v>1.888</v>
      </c>
      <c r="I5" s="19" t="n">
        <v>0.995</v>
      </c>
      <c r="J5" s="19" t="n">
        <v>10.513</v>
      </c>
      <c r="K5" s="19" t="n">
        <v>16.455</v>
      </c>
    </row>
    <row r="6" customFormat="false" ht="15" hidden="false" customHeight="true" outlineLevel="0" collapsed="false">
      <c r="A6" s="4" t="s">
        <v>18</v>
      </c>
      <c r="B6" s="4" t="s">
        <v>58</v>
      </c>
      <c r="C6" s="19" t="n">
        <v>28.188</v>
      </c>
      <c r="D6" s="19" t="n">
        <v>22.434</v>
      </c>
      <c r="E6" s="19" t="n">
        <v>2.538</v>
      </c>
      <c r="F6" s="19" t="n">
        <v>2.107</v>
      </c>
      <c r="G6" s="19" t="n">
        <v>5.484</v>
      </c>
      <c r="H6" s="19" t="n">
        <v>4.539</v>
      </c>
      <c r="I6" s="19" t="n">
        <v>4.807</v>
      </c>
      <c r="J6" s="19" t="n">
        <v>22.39</v>
      </c>
      <c r="K6" s="19" t="n">
        <v>36.679</v>
      </c>
    </row>
    <row r="7" customFormat="false" ht="15" hidden="false" customHeight="true" outlineLevel="0" collapsed="false">
      <c r="A7" s="4" t="s">
        <v>24</v>
      </c>
      <c r="B7" s="4" t="s">
        <v>57</v>
      </c>
      <c r="C7" s="19" t="n">
        <v>108.5</v>
      </c>
      <c r="D7" s="19" t="n">
        <v>137.307</v>
      </c>
      <c r="E7" s="19" t="n">
        <v>8.7</v>
      </c>
      <c r="F7" s="19" t="n">
        <v>13.513</v>
      </c>
      <c r="G7" s="19" t="n">
        <v>6.029</v>
      </c>
      <c r="H7" s="19" t="n">
        <v>0</v>
      </c>
      <c r="I7" s="19" t="n">
        <v>-19.938</v>
      </c>
      <c r="J7" s="19" t="n">
        <v>0.035</v>
      </c>
      <c r="K7" s="19" t="n">
        <v>0.035</v>
      </c>
    </row>
    <row r="8" customFormat="false" ht="15" hidden="false" customHeight="true" outlineLevel="0" collapsed="false">
      <c r="A8" s="4" t="s">
        <v>24</v>
      </c>
      <c r="B8" s="4" t="s">
        <v>21</v>
      </c>
      <c r="C8" s="19" t="n">
        <v>108.5</v>
      </c>
      <c r="D8" s="19" t="n">
        <v>108.882</v>
      </c>
      <c r="E8" s="19" t="n">
        <v>8.7</v>
      </c>
      <c r="F8" s="19" t="n">
        <v>9.066</v>
      </c>
      <c r="G8" s="19" t="n">
        <v>16.242</v>
      </c>
      <c r="H8" s="19" t="n">
        <v>12.584</v>
      </c>
      <c r="I8" s="19" t="n">
        <v>0.747</v>
      </c>
      <c r="J8" s="19" t="n">
        <v>53.242</v>
      </c>
      <c r="K8" s="19" t="n">
        <v>92.857</v>
      </c>
    </row>
    <row r="9" customFormat="false" ht="15" hidden="false" customHeight="true" outlineLevel="0" collapsed="false">
      <c r="A9" s="4" t="s">
        <v>24</v>
      </c>
      <c r="B9" s="4" t="s">
        <v>58</v>
      </c>
      <c r="C9" s="19" t="n">
        <v>108.5</v>
      </c>
      <c r="D9" s="19" t="n">
        <v>87.146</v>
      </c>
      <c r="E9" s="19" t="n">
        <v>8.7</v>
      </c>
      <c r="F9" s="19" t="n">
        <v>7.434</v>
      </c>
      <c r="G9" s="19" t="n">
        <v>30.824</v>
      </c>
      <c r="H9" s="19" t="n">
        <v>30.259</v>
      </c>
      <c r="I9" s="19" t="n">
        <v>18.271</v>
      </c>
      <c r="J9" s="19" t="n">
        <v>117.042</v>
      </c>
      <c r="K9" s="19" t="n">
        <v>212.301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2"/>
    <col collapsed="false" customWidth="true" hidden="false" outlineLevel="0" max="2" min="2" style="1" width="110"/>
    <col collapsed="false" customWidth="true" hidden="false" outlineLevel="0" max="3" min="3" style="1" width="60"/>
  </cols>
  <sheetData>
    <row r="1" customFormat="false" ht="17.25" hidden="false" customHeight="true" outlineLevel="0" collapsed="false">
      <c r="A1" s="2" t="s">
        <v>178</v>
      </c>
    </row>
    <row r="3" customFormat="false" ht="15" hidden="false" customHeight="true" outlineLevel="0" collapsed="false">
      <c r="A3" s="5" t="s">
        <v>179</v>
      </c>
      <c r="B3" s="4" t="s">
        <v>180</v>
      </c>
      <c r="C3" s="20" t="s">
        <v>181</v>
      </c>
    </row>
    <row r="4" customFormat="false" ht="15" hidden="false" customHeight="true" outlineLevel="0" collapsed="false">
      <c r="A4" s="5" t="s">
        <v>182</v>
      </c>
      <c r="B4" s="4" t="s">
        <v>183</v>
      </c>
      <c r="C4" s="20" t="s">
        <v>184</v>
      </c>
    </row>
    <row r="5" customFormat="false" ht="15" hidden="false" customHeight="true" outlineLevel="0" collapsed="false">
      <c r="A5" s="5" t="s">
        <v>185</v>
      </c>
      <c r="B5" s="4" t="s">
        <v>186</v>
      </c>
      <c r="C5" s="20" t="s">
        <v>187</v>
      </c>
    </row>
    <row r="6" customFormat="false" ht="15" hidden="false" customHeight="true" outlineLevel="0" collapsed="false">
      <c r="A6" s="5" t="s">
        <v>188</v>
      </c>
      <c r="B6" s="4" t="s">
        <v>189</v>
      </c>
      <c r="C6" s="20" t="s">
        <v>190</v>
      </c>
    </row>
    <row r="7" customFormat="false" ht="15" hidden="false" customHeight="true" outlineLevel="0" collapsed="false">
      <c r="A7" s="5" t="s">
        <v>191</v>
      </c>
      <c r="B7" s="4" t="s">
        <v>192</v>
      </c>
      <c r="C7" s="20" t="s">
        <v>193</v>
      </c>
    </row>
    <row r="8" customFormat="false" ht="15" hidden="false" customHeight="true" outlineLevel="0" collapsed="false">
      <c r="A8" s="5" t="s">
        <v>194</v>
      </c>
      <c r="B8" s="4" t="s">
        <v>195</v>
      </c>
      <c r="C8" s="20" t="s">
        <v>196</v>
      </c>
    </row>
    <row r="9" customFormat="false" ht="15" hidden="false" customHeight="true" outlineLevel="0" collapsed="false">
      <c r="A9" s="5" t="s">
        <v>91</v>
      </c>
      <c r="B9" s="4" t="s">
        <v>197</v>
      </c>
      <c r="C9" s="20" t="s">
        <v>198</v>
      </c>
    </row>
    <row r="10" customFormat="false" ht="15" hidden="false" customHeight="true" outlineLevel="0" collapsed="false">
      <c r="A10" s="5" t="s">
        <v>199</v>
      </c>
      <c r="B10" s="4" t="s">
        <v>200</v>
      </c>
      <c r="C10" s="20" t="s">
        <v>201</v>
      </c>
    </row>
    <row r="11" customFormat="false" ht="15" hidden="false" customHeight="true" outlineLevel="0" collapsed="false">
      <c r="A11" s="5" t="s">
        <v>202</v>
      </c>
      <c r="B11" s="4" t="s">
        <v>203</v>
      </c>
      <c r="C11" s="20" t="s">
        <v>204</v>
      </c>
    </row>
    <row r="12" customFormat="false" ht="15" hidden="false" customHeight="true" outlineLevel="0" collapsed="false">
      <c r="A12" s="5" t="s">
        <v>205</v>
      </c>
      <c r="B12" s="4" t="s">
        <v>206</v>
      </c>
      <c r="C12" s="20" t="s">
        <v>207</v>
      </c>
    </row>
    <row r="13" customFormat="false" ht="15" hidden="false" customHeight="true" outlineLevel="0" collapsed="false">
      <c r="A13" s="5" t="s">
        <v>112</v>
      </c>
      <c r="B13" s="4" t="s">
        <v>208</v>
      </c>
      <c r="C13" s="20" t="s">
        <v>209</v>
      </c>
    </row>
    <row r="14" customFormat="false" ht="15" hidden="false" customHeight="true" outlineLevel="0" collapsed="false">
      <c r="A14" s="5" t="s">
        <v>114</v>
      </c>
      <c r="B14" s="4" t="s">
        <v>210</v>
      </c>
      <c r="C14" s="20" t="s">
        <v>211</v>
      </c>
    </row>
    <row r="15" customFormat="false" ht="15" hidden="false" customHeight="true" outlineLevel="0" collapsed="false">
      <c r="A15" s="5" t="s">
        <v>212</v>
      </c>
      <c r="B15" s="4" t="s">
        <v>213</v>
      </c>
      <c r="C15" s="20" t="s">
        <v>214</v>
      </c>
    </row>
    <row r="16" customFormat="false" ht="15" hidden="false" customHeight="true" outlineLevel="0" collapsed="false">
      <c r="A16" s="5" t="s">
        <v>215</v>
      </c>
      <c r="B16" s="4" t="s">
        <v>216</v>
      </c>
      <c r="C16" s="20" t="s">
        <v>217</v>
      </c>
    </row>
    <row r="17" customFormat="false" ht="15" hidden="false" customHeight="true" outlineLevel="0" collapsed="false">
      <c r="A17" s="5" t="s">
        <v>218</v>
      </c>
      <c r="B17" s="4" t="s">
        <v>219</v>
      </c>
      <c r="C17" s="20" t="s">
        <v>220</v>
      </c>
    </row>
    <row r="18" customFormat="false" ht="15" hidden="false" customHeight="true" outlineLevel="0" collapsed="false">
      <c r="A18" s="5" t="s">
        <v>221</v>
      </c>
      <c r="B18" s="4" t="s">
        <v>222</v>
      </c>
      <c r="C18" s="20" t="s">
        <v>223</v>
      </c>
    </row>
    <row r="19" customFormat="false" ht="15" hidden="false" customHeight="true" outlineLevel="0" collapsed="false">
      <c r="A19" s="5" t="s">
        <v>224</v>
      </c>
      <c r="B19" s="4" t="s">
        <v>225</v>
      </c>
      <c r="C19" s="20" t="s">
        <v>226</v>
      </c>
    </row>
    <row r="20" customFormat="false" ht="15" hidden="false" customHeight="true" outlineLevel="0" collapsed="false">
      <c r="A20" s="5" t="s">
        <v>227</v>
      </c>
      <c r="B20" s="4" t="s">
        <v>228</v>
      </c>
      <c r="C20" s="20" t="s">
        <v>229</v>
      </c>
    </row>
    <row r="21" customFormat="false" ht="15" hidden="false" customHeight="true" outlineLevel="0" collapsed="false">
      <c r="A21" s="5" t="s">
        <v>230</v>
      </c>
      <c r="B21" s="4" t="s">
        <v>231</v>
      </c>
      <c r="C21" s="20" t="s">
        <v>232</v>
      </c>
    </row>
    <row r="22" customFormat="false" ht="15" hidden="false" customHeight="true" outlineLevel="0" collapsed="false">
      <c r="A22" s="5" t="s">
        <v>233</v>
      </c>
      <c r="B22" s="4" t="s">
        <v>234</v>
      </c>
      <c r="C22" s="20" t="s">
        <v>235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2026-10-12T14:30:05Z</dcterms:created>
  <dc:creator>openpyxl</dc:creator>
  <dc:description/>
  <dc:language>en-US</dc:language>
  <cp:lastModifiedBy/>
  <dcterms:modified xsi:type="dcterms:W3CDTF">2026-10-13T10:44:05Z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